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8480" windowHeight="10005" activeTab="0"/>
  </bookViews>
  <sheets>
    <sheet name="Input" sheetId="1" r:id="rId1"/>
    <sheet name="INACTIVE -Charts" sheetId="2" r:id="rId2"/>
    <sheet name="INACTIVE - chart data" sheetId="3" r:id="rId3"/>
    <sheet name="Equivalence Factors" sheetId="4" r:id="rId4"/>
  </sheets>
  <definedNames>
    <definedName name="Override">'INACTIVE - chart data'!$B$21:$B$22</definedName>
  </definedNames>
  <calcPr fullCalcOnLoad="1"/>
</workbook>
</file>

<file path=xl/comments4.xml><?xml version="1.0" encoding="utf-8"?>
<comments xmlns="http://schemas.openxmlformats.org/spreadsheetml/2006/main">
  <authors>
    <author>Chung, Reagan</author>
  </authors>
  <commentList>
    <comment ref="C16" authorId="0">
      <text>
        <r>
          <rPr>
            <b/>
            <sz val="9"/>
            <rFont val="Tahoma"/>
            <family val="0"/>
          </rPr>
          <t>Chung, Reagan:</t>
        </r>
        <r>
          <rPr>
            <sz val="9"/>
            <rFont val="Tahoma"/>
            <family val="0"/>
          </rPr>
          <t xml:space="preserve">
From WARM V12, source reduced from landfill.</t>
        </r>
      </text>
    </comment>
    <comment ref="C9" authorId="0">
      <text>
        <r>
          <rPr>
            <b/>
            <sz val="9"/>
            <rFont val="Tahoma"/>
            <family val="0"/>
          </rPr>
          <t>Chung, Reagan:</t>
        </r>
        <r>
          <rPr>
            <sz val="9"/>
            <rFont val="Tahoma"/>
            <family val="0"/>
          </rPr>
          <t xml:space="preserve">
WARM V12, Source reduced from Recycling corrugated containers.</t>
        </r>
      </text>
    </comment>
  </commentList>
</comments>
</file>

<file path=xl/sharedStrings.xml><?xml version="1.0" encoding="utf-8"?>
<sst xmlns="http://schemas.openxmlformats.org/spreadsheetml/2006/main" count="142" uniqueCount="133">
  <si>
    <t>\</t>
  </si>
  <si>
    <t>Round trips per year per reusable</t>
  </si>
  <si>
    <t>Processing Cost</t>
  </si>
  <si>
    <r>
      <t>·</t>
    </r>
    <r>
      <rPr>
        <sz val="10"/>
        <rFont val="Arial"/>
        <family val="2"/>
      </rPr>
      <t xml:space="preserve"> Reduced tangential packaging costs, (e.g., stretch wrap, corner boards)</t>
    </r>
  </si>
  <si>
    <t>Total purchase cost</t>
  </si>
  <si>
    <t>Volume</t>
  </si>
  <si>
    <t>Cost per mile used</t>
  </si>
  <si>
    <t>Cost per truck load</t>
  </si>
  <si>
    <t>Total cost per use</t>
  </si>
  <si>
    <t>Amortization years</t>
  </si>
  <si>
    <t>Calculations - reusable</t>
  </si>
  <si>
    <t>Supplemental materials</t>
  </si>
  <si>
    <t xml:space="preserve"> </t>
  </si>
  <si>
    <t>Disposal cost = (Cost of landfill in $/ton ) x (weight entered in C11) / 2000</t>
  </si>
  <si>
    <t>Processing time for reusable (cleaning, etc.)</t>
  </si>
  <si>
    <t>Cycle Time</t>
  </si>
  <si>
    <t>Reusable Type</t>
  </si>
  <si>
    <t>Additional water cost</t>
  </si>
  <si>
    <t>Total reusable fleet size</t>
  </si>
  <si>
    <t>Calculation will use this reverse logitics cost per container</t>
  </si>
  <si>
    <t>Cost per container</t>
  </si>
  <si>
    <t>RPC cost per use</t>
  </si>
  <si>
    <t>Mid</t>
  </si>
  <si>
    <t>Days at end user's location (i.e. final destination) (e.g., retail store, warehouse). Includes those in use, waiting to be emptied, queued for return.</t>
  </si>
  <si>
    <t>Days at end user</t>
  </si>
  <si>
    <r>
      <t xml:space="preserve">Override: </t>
    </r>
    <r>
      <rPr>
        <sz val="10"/>
        <color indexed="16"/>
        <rFont val="Arial"/>
        <family val="2"/>
      </rPr>
      <t>If you'd like to enter your own cost for returning the containers and override these calculations, select Yes and enter the cost.</t>
    </r>
  </si>
  <si>
    <t>Purchase Price</t>
  </si>
  <si>
    <t>Cost Savings / (Penalty) using Reusable Shipping Container</t>
  </si>
  <si>
    <r>
      <t>·</t>
    </r>
    <r>
      <rPr>
        <sz val="10"/>
        <rFont val="Arial"/>
        <family val="2"/>
      </rPr>
      <t xml:space="preserve"> Potential for reduced greenhouse gas emissions and overall energy consumption</t>
    </r>
  </si>
  <si>
    <t>Enter your own override reverse logistics cost here (and select yes on left):</t>
  </si>
  <si>
    <t>Reusable, total cost (sum of above costs)</t>
  </si>
  <si>
    <t>Handling per use</t>
  </si>
  <si>
    <t>Turn Days</t>
  </si>
  <si>
    <t>Plotting costs</t>
  </si>
  <si>
    <t>Base</t>
  </si>
  <si>
    <t>Turns per Year</t>
  </si>
  <si>
    <t>Number of uses of limited-use packaging</t>
  </si>
  <si>
    <t>Safety cushion (in days of reusables on hand)</t>
  </si>
  <si>
    <t>The "safety cushion" is an amount of excess packaging kept on hand to avoid running out at any time. If the cycle time through your supply chain is relatively predictable, your required "safety stock" might not be very significant. Experts recommend at least 1 to 3 days.</t>
  </si>
  <si>
    <t>Reusable Container Cost Per Use</t>
  </si>
  <si>
    <t>Total reusables investment</t>
  </si>
  <si>
    <t>Amortized investment</t>
  </si>
  <si>
    <t>Other Costs/Savings Estimates</t>
  </si>
  <si>
    <t>Annual Savings / (Penalty)</t>
  </si>
  <si>
    <t>Truck load costs</t>
  </si>
  <si>
    <t>Minimu TL</t>
  </si>
  <si>
    <t>Return cost per unit</t>
  </si>
  <si>
    <t>Corrugated cost per use</t>
  </si>
  <si>
    <t>Enter the cost of supplemental materials (tape or other materials) used with each disposable unit.  Do NOT include if material is also used with the reusable alternative.</t>
  </si>
  <si>
    <t>Total number of units shipped per year</t>
  </si>
  <si>
    <t>Total number of reusables shipped per year</t>
  </si>
  <si>
    <t>Reusables can last indefinitely if not lost or mishandled, but it is typical to amortize the cost over a 5 year period.</t>
  </si>
  <si>
    <t>Additional cost (savings)</t>
  </si>
  <si>
    <t>Labor cost</t>
  </si>
  <si>
    <t>Annual cost</t>
  </si>
  <si>
    <t>Total Cycle Time</t>
  </si>
  <si>
    <t>Minimum cost for a truck load</t>
  </si>
  <si>
    <t>Return Logistics (Costs to Return Reusables)</t>
  </si>
  <si>
    <r>
      <t>Replacement Rate:</t>
    </r>
    <r>
      <rPr>
        <b/>
        <sz val="10"/>
        <color indexed="16"/>
        <rFont val="Arial"/>
        <family val="2"/>
      </rPr>
      <t xml:space="preserve"> </t>
    </r>
    <r>
      <rPr>
        <sz val="10"/>
        <color indexed="16"/>
        <rFont val="Arial"/>
        <family val="2"/>
      </rPr>
      <t>At what rate do you expect to replace lost or damaged reusables annually? The Default value is 3%</t>
    </r>
  </si>
  <si>
    <t>Base from Inputs</t>
  </si>
  <si>
    <t>RPC Costs per Use</t>
  </si>
  <si>
    <t>Item</t>
  </si>
  <si>
    <t>Enter your actual cost for a unit, and the cost of a comparably sized reusable container. Default values are provided.</t>
  </si>
  <si>
    <t>Number of miles to return to the starting point</t>
  </si>
  <si>
    <t>The # of complete round-trips. As cycle time decreases, the # of round trips per year increases, resulting in better payback potential.</t>
  </si>
  <si>
    <t>Damage from pkg</t>
  </si>
  <si>
    <t>override selection</t>
  </si>
  <si>
    <t>Yes</t>
  </si>
  <si>
    <t>No</t>
  </si>
  <si>
    <t>Override</t>
  </si>
  <si>
    <r>
      <t>·</t>
    </r>
    <r>
      <rPr>
        <sz val="10"/>
        <rFont val="Arial"/>
        <family val="2"/>
      </rPr>
      <t xml:space="preserve"> Easier loading and unloading of product; ergonomic benefits</t>
    </r>
  </si>
  <si>
    <r>
      <t>·</t>
    </r>
    <r>
      <rPr>
        <sz val="10"/>
        <rFont val="Arial"/>
        <family val="2"/>
      </rPr>
      <t xml:space="preserve"> Better cube utilization in trailers; reusables are made to stack and interlock</t>
    </r>
  </si>
  <si>
    <t>*This cost comparison is presented as guidance on evaluating reusables. Each situation will be unique.</t>
  </si>
  <si>
    <t>Cost savings per unit per trip</t>
  </si>
  <si>
    <t>StopWaste.org - SAIC - Thor Consulting, Inc.</t>
  </si>
  <si>
    <t>Environmental Conversion Factors</t>
  </si>
  <si>
    <t>Eric Fredrickson</t>
  </si>
  <si>
    <t>Single Use Packaging Material</t>
  </si>
  <si>
    <t>Trees Saved per Ton</t>
  </si>
  <si>
    <t>Greenhouse Gas Emmissions Reduced (tons) per Ton</t>
  </si>
  <si>
    <t>Energy Saved (Kwh) per Ton</t>
  </si>
  <si>
    <r>
      <t>Solid Waste Reduced (yd</t>
    </r>
    <r>
      <rPr>
        <b/>
        <vertAlign val="superscript"/>
        <sz val="11"/>
        <color indexed="63"/>
        <rFont val="Calibri"/>
        <family val="2"/>
      </rPr>
      <t>3</t>
    </r>
    <r>
      <rPr>
        <b/>
        <sz val="11"/>
        <color indexed="63"/>
        <rFont val="Calibri"/>
        <family val="2"/>
      </rPr>
      <t>) per Ton</t>
    </r>
  </si>
  <si>
    <t>Fresh Water Saved (gal.) per Ton</t>
  </si>
  <si>
    <t>Aluminum</t>
  </si>
  <si>
    <t>Chipboard</t>
  </si>
  <si>
    <t>Corrugated Cardboard</t>
  </si>
  <si>
    <t>Hardboard</t>
  </si>
  <si>
    <t>Laminate</t>
  </si>
  <si>
    <t>Paper</t>
  </si>
  <si>
    <t xml:space="preserve">Plastic </t>
  </si>
  <si>
    <t>Stretch Wrap</t>
  </si>
  <si>
    <t>Steel</t>
  </si>
  <si>
    <t>Wood</t>
  </si>
  <si>
    <t xml:space="preserve">Trees Equivalent </t>
  </si>
  <si>
    <t>Annual Savings</t>
  </si>
  <si>
    <t>Solid Waste (US Tons)</t>
  </si>
  <si>
    <t>Assumptions</t>
  </si>
  <si>
    <t>Days at supplier site</t>
  </si>
  <si>
    <t>Factor in the costs for returning reusable totes</t>
  </si>
  <si>
    <t>Reusable totes per truck load</t>
  </si>
  <si>
    <t>Return cost per limited-use box</t>
  </si>
  <si>
    <t>Return cost per reusable tote</t>
  </si>
  <si>
    <t>Limited-use boxes per truck load</t>
  </si>
  <si>
    <t>ROI (return on amortized investment)</t>
  </si>
  <si>
    <t>ROI (return on total investment)</t>
  </si>
  <si>
    <t>Box</t>
  </si>
  <si>
    <t>Reusable Tote</t>
  </si>
  <si>
    <t>Reusable Tote Price</t>
  </si>
  <si>
    <t>Reusables Cost Comparison Tool - Boxes</t>
  </si>
  <si>
    <t>Transit days to end user</t>
  </si>
  <si>
    <t>Transit days back to supplier site</t>
  </si>
  <si>
    <t xml:space="preserve">For this example, enter the annual number of disposables shipped (i.e. shipments) in a given year,  and the equivalent number of reusables to ship the same amount of product. Assuming the reusables are the same size as the limited-use packaging, limited-use volume will equal the reusables volume. </t>
  </si>
  <si>
    <t xml:space="preserve">If you use limited-use packaging (i.e. cardboard boxes) more than once, enter the expected number of re-uses here.  Enter "1" if boxes are single-use only/not reused.  </t>
  </si>
  <si>
    <t>"Cycle time" is the amount of time in days that a reusable tote will be held at various stages in your supply or distribution chain. In addition to time at your facility, be sure to also enter time at any distribution centers, transit time, time at the destination, and time for preparing and returning the container for reuse. (Leave lines blank for rows that do not apply to your situation.)</t>
  </si>
  <si>
    <t>Enter weight of one unit of packaging in lbs.  Default is 2 lbs for a box.</t>
  </si>
  <si>
    <t>Use the optional spaces below to enter additional costs or savings for disposable and reusable containers. Examples are provided; delete or modify as appropriate for your circumstances.</t>
  </si>
  <si>
    <t>Damage from pkg = % damage incidence x value of shipment</t>
  </si>
  <si>
    <t>Recycling revenue, e.g. $25-$200/ton baled cardboard; express as (savings)</t>
  </si>
  <si>
    <t>Greenhouse Gases</t>
  </si>
  <si>
    <t>Cars Equivalent (cars/yr)</t>
  </si>
  <si>
    <t>Cars Equivalent: 25 MPG car, 10,000 miles per year</t>
  </si>
  <si>
    <t>Limited-Use Boxes: Corrugated Cardboard Material</t>
  </si>
  <si>
    <t>Does not include potential cost savings from the following benefits of using Reusables12/7/2012:</t>
  </si>
  <si>
    <r>
      <t>·</t>
    </r>
    <r>
      <rPr>
        <sz val="10"/>
        <rFont val="Arial"/>
        <family val="2"/>
      </rPr>
      <t xml:space="preserve"> Benefits from reusables enabling processes for lean manufacturing</t>
    </r>
  </si>
  <si>
    <r>
      <t xml:space="preserve">Definitions: </t>
    </r>
    <r>
      <rPr>
        <sz val="10"/>
        <rFont val="Arial"/>
        <family val="2"/>
      </rPr>
      <t>Box, carton, case, cardboard box, and corrugated cardboard box are all interchangeable.  Tote is a reusable box.</t>
    </r>
  </si>
  <si>
    <t>This tool provides a first-order evaluation of reusable transport packaging by comparing basic cost differences of disposable packaging (corrugated boxes) and reusable totes.  Input cost components specific to your business to view estimated annual cost savings and return on investment.  Use these estimates to determine if it makes economic sense for your business to implement reusable transport packaging.  A more detailed cost analysis should be done once you obtain accurate data and cost estimates for the assumptions we provide here.
Note: This tool was developed to assess closed loop opportunities.  For "open loop" scenarios a third-party pooling solution may be appropriate; contact our technical assistance team to find out more.</t>
  </si>
  <si>
    <t>This is the total quantity of reusables needed in your system, based on the number of shipments per year and the cycle time.</t>
  </si>
  <si>
    <t>Cost to run the truck (leasing, fuel, etc.)</t>
  </si>
  <si>
    <r>
      <t>Processing Cost:</t>
    </r>
    <r>
      <rPr>
        <sz val="12"/>
        <color indexed="16"/>
        <rFont val="Arial"/>
        <family val="2"/>
      </rPr>
      <t xml:space="preserve"> </t>
    </r>
    <r>
      <rPr>
        <sz val="10"/>
        <color indexed="16"/>
        <rFont val="Arial"/>
        <family val="2"/>
      </rPr>
      <t>Use the default value of $0.25 to clean and prepare returned containers for reuse, or estimate your own.  Include washing costs, water costs, any extra storage costs, etc.  Processing costs for limited-use packaging may include labor for assembly and break-down if necessary.</t>
    </r>
  </si>
  <si>
    <t>Enter the number of miles the container will travel to return to your facility</t>
  </si>
  <si>
    <t>Cost of container divided by number of miles travelled</t>
  </si>
  <si>
    <t>Automatically calculated based on the above entries</t>
  </si>
  <si>
    <t>A typical truck load can hold 4,000 collapsed or nested reusable totes.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</si>
</sst>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00_);_(&quot;$&quot;* \(#,##0.000\);_(&quot;$&quot;* &quot;-&quot;??_);_(@_)"/>
    <numFmt numFmtId="167" formatCode="_(&quot;$&quot;* #,##0.0_);_(&quot;$&quot;* \(#,##0.0\);_(&quot;$&quot;* &quot;-&quot;??_);_(@_)"/>
    <numFmt numFmtId="168" formatCode="0.0"/>
    <numFmt numFmtId="169" formatCode="_(* #,##0.000_);_(* \(#,##0.000\);_(* &quot;-&quot;???_);_(@_)"/>
    <numFmt numFmtId="170" formatCode="0.000"/>
    <numFmt numFmtId="171" formatCode="0.0000"/>
    <numFmt numFmtId="172" formatCode="_(&quot;$&quot;* #,##0.000_);_(&quot;$&quot;* \(#,##0.000\);_(&quot;$&quot;* &quot;-&quot;???_);_(@_)"/>
    <numFmt numFmtId="173" formatCode="_(&quot;$&quot;* #,##0.0000_);_(&quot;$&quot;* \(#,##0.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quot;$&quot;#,##0.00"/>
    <numFmt numFmtId="179" formatCode="0.0%"/>
    <numFmt numFmtId="180" formatCode="0.000000"/>
    <numFmt numFmtId="181" formatCode="0.00000"/>
  </numFmts>
  <fonts count="66">
    <font>
      <sz val="10"/>
      <name val="Arial"/>
      <family val="2"/>
    </font>
    <font>
      <sz val="8"/>
      <name val="Arial"/>
      <family val="2"/>
    </font>
    <font>
      <b/>
      <sz val="10"/>
      <name val="Arial"/>
      <family val="2"/>
    </font>
    <font>
      <i/>
      <sz val="10"/>
      <name val="Arial"/>
      <family val="2"/>
    </font>
    <font>
      <b/>
      <i/>
      <sz val="10"/>
      <name val="Arial"/>
      <family val="2"/>
    </font>
    <font>
      <sz val="10"/>
      <name val="Symbol"/>
      <family val="1"/>
    </font>
    <font>
      <i/>
      <sz val="10"/>
      <color indexed="10"/>
      <name val="Arial"/>
      <family val="2"/>
    </font>
    <font>
      <i/>
      <sz val="10"/>
      <color indexed="48"/>
      <name val="Arial"/>
      <family val="2"/>
    </font>
    <font>
      <sz val="10"/>
      <color indexed="48"/>
      <name val="Arial"/>
      <family val="2"/>
    </font>
    <font>
      <sz val="10"/>
      <color indexed="12"/>
      <name val="Arial"/>
      <family val="0"/>
    </font>
    <font>
      <b/>
      <sz val="12"/>
      <name val="Arial"/>
      <family val="2"/>
    </font>
    <font>
      <i/>
      <sz val="10"/>
      <color indexed="8"/>
      <name val="Arial"/>
      <family val="2"/>
    </font>
    <font>
      <i/>
      <sz val="10"/>
      <color indexed="16"/>
      <name val="Arial"/>
      <family val="2"/>
    </font>
    <font>
      <sz val="10"/>
      <color indexed="16"/>
      <name val="Arial"/>
      <family val="2"/>
    </font>
    <font>
      <b/>
      <sz val="10"/>
      <color indexed="16"/>
      <name val="Arial"/>
      <family val="2"/>
    </font>
    <font>
      <sz val="12"/>
      <color indexed="16"/>
      <name val="Arial"/>
      <family val="2"/>
    </font>
    <font>
      <u val="single"/>
      <sz val="10"/>
      <color indexed="12"/>
      <name val="Arial"/>
      <family val="2"/>
    </font>
    <font>
      <u val="single"/>
      <sz val="10"/>
      <color indexed="36"/>
      <name val="Arial"/>
      <family val="0"/>
    </font>
    <font>
      <b/>
      <sz val="11"/>
      <color indexed="63"/>
      <name val="Calibri"/>
      <family val="2"/>
    </font>
    <font>
      <b/>
      <vertAlign val="superscript"/>
      <sz val="11"/>
      <color indexed="63"/>
      <name val="Calibri"/>
      <family val="2"/>
    </font>
    <font>
      <sz val="9"/>
      <name val="Tahoma"/>
      <family val="0"/>
    </font>
    <font>
      <b/>
      <sz val="9"/>
      <name val="Tahoma"/>
      <family val="0"/>
    </font>
    <font>
      <sz val="12"/>
      <color indexed="63"/>
      <name val="Arial"/>
      <family val="2"/>
    </font>
    <font>
      <sz val="10.1"/>
      <color indexed="63"/>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4"/>
      <color indexed="63"/>
      <name val="Calibri"/>
      <family val="2"/>
    </font>
    <font>
      <sz val="10"/>
      <color indexed="10"/>
      <name val="Arial"/>
      <family val="2"/>
    </font>
    <font>
      <b/>
      <sz val="12"/>
      <color indexed="63"/>
      <name val="Arial"/>
      <family val="2"/>
    </font>
    <font>
      <b/>
      <sz val="15.5"/>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Calibri"/>
      <family val="2"/>
    </font>
    <font>
      <sz val="11"/>
      <color rgb="FF000000"/>
      <name val="Calibri"/>
      <family val="2"/>
    </font>
    <font>
      <b/>
      <sz val="11"/>
      <color rgb="FF000000"/>
      <name val="Calibri"/>
      <family val="2"/>
    </font>
    <font>
      <sz val="10"/>
      <color theme="8" tint="-0.4999699890613556"/>
      <name val="Arial"/>
      <family val="2"/>
    </font>
    <font>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indexed="43"/>
        <bgColor indexed="64"/>
      </patternFill>
    </fill>
    <fill>
      <patternFill patternType="gray0625">
        <fgColor indexed="22"/>
        <bgColor indexed="22"/>
      </patternFill>
    </fill>
    <fill>
      <patternFill patternType="solid">
        <fgColor indexed="23"/>
        <bgColor indexed="64"/>
      </patternFill>
    </fill>
    <fill>
      <patternFill patternType="solid">
        <fgColor indexed="8"/>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color indexed="9"/>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dashed"/>
      <top style="thin"/>
      <bottom style="medium"/>
    </border>
    <border>
      <left style="medium"/>
      <right style="dashed"/>
      <top style="medium"/>
      <bottom>
        <color indexed="63"/>
      </bottom>
    </border>
    <border>
      <left style="medium"/>
      <right>
        <color indexed="63"/>
      </right>
      <top>
        <color indexed="63"/>
      </top>
      <bottom style="thin"/>
    </border>
    <border>
      <left>
        <color indexed="63"/>
      </left>
      <right>
        <color indexed="63"/>
      </right>
      <top style="medium">
        <color indexed="9"/>
      </top>
      <bottom style="thin"/>
    </border>
    <border>
      <left>
        <color indexed="63"/>
      </left>
      <right>
        <color indexed="63"/>
      </right>
      <top style="thin"/>
      <bottom style="medium"/>
    </border>
    <border>
      <left style="medium"/>
      <right style="dashed"/>
      <top style="thin"/>
      <bottom style="thin"/>
    </border>
    <border>
      <left style="medium"/>
      <right style="dashed"/>
      <top>
        <color indexed="63"/>
      </top>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23"/>
      </right>
      <top style="medium">
        <color indexed="9"/>
      </top>
      <bottom style="medium"/>
    </border>
    <border>
      <left style="medium">
        <color indexed="23"/>
      </left>
      <right style="medium"/>
      <top style="medium">
        <color indexed="9"/>
      </top>
      <bottom style="medium"/>
    </border>
    <border>
      <left style="medium"/>
      <right style="medium">
        <color indexed="55"/>
      </right>
      <top>
        <color indexed="63"/>
      </top>
      <bottom>
        <color indexed="63"/>
      </bottom>
    </border>
    <border>
      <left style="medium">
        <color indexed="23"/>
      </left>
      <right style="medium"/>
      <top>
        <color indexed="63"/>
      </top>
      <bottom style="medium"/>
    </border>
    <border>
      <left style="medium"/>
      <right style="thin"/>
      <top>
        <color indexed="63"/>
      </top>
      <bottom style="medium"/>
    </border>
    <border>
      <left style="medium">
        <color indexed="9"/>
      </left>
      <right style="medium"/>
      <top style="medium">
        <color indexed="9"/>
      </top>
      <bottom style="medium"/>
    </border>
    <border>
      <left style="medium"/>
      <right style="dashed"/>
      <top>
        <color indexed="63"/>
      </top>
      <bottom style="thin"/>
    </border>
    <border>
      <left>
        <color indexed="63"/>
      </left>
      <right style="medium">
        <color indexed="23"/>
      </right>
      <top>
        <color indexed="63"/>
      </top>
      <bottom style="medium"/>
    </border>
    <border>
      <left style="medium"/>
      <right style="dotted"/>
      <top style="thin"/>
      <bottom>
        <color indexed="63"/>
      </bottom>
    </border>
    <border>
      <left>
        <color indexed="63"/>
      </left>
      <right>
        <color indexed="63"/>
      </right>
      <top style="medium"/>
      <bottom style="medium"/>
    </border>
    <border>
      <left style="medium"/>
      <right style="medium">
        <color indexed="23"/>
      </right>
      <top>
        <color indexed="63"/>
      </top>
      <bottom style="medium"/>
    </border>
    <border>
      <left style="medium"/>
      <right style="medium"/>
      <top style="medium"/>
      <bottom style="medium"/>
    </border>
    <border>
      <left style="medium">
        <color indexed="55"/>
      </left>
      <right style="thick">
        <color indexed="9"/>
      </right>
      <top style="medium">
        <color indexed="55"/>
      </top>
      <bottom style="medium">
        <color indexed="55"/>
      </bottom>
    </border>
    <border>
      <left style="medium">
        <color indexed="55"/>
      </left>
      <right style="thick">
        <color indexed="9"/>
      </right>
      <top style="medium">
        <color indexed="55"/>
      </top>
      <bottom style="medium">
        <color indexed="9"/>
      </bottom>
    </border>
    <border>
      <left style="medium"/>
      <right style="thick">
        <color indexed="9"/>
      </right>
      <top style="medium">
        <color indexed="55"/>
      </top>
      <bottom style="medium">
        <color indexed="9"/>
      </bottom>
    </border>
    <border>
      <left style="medium">
        <color indexed="55"/>
      </left>
      <right style="medium">
        <color indexed="9"/>
      </right>
      <top style="medium">
        <color indexed="55"/>
      </top>
      <bottom>
        <color indexed="63"/>
      </bottom>
    </border>
    <border>
      <left style="medium">
        <color indexed="55"/>
      </left>
      <right style="medium">
        <color indexed="9"/>
      </right>
      <top style="medium">
        <color indexed="55"/>
      </top>
      <bottom style="medium">
        <color indexed="9"/>
      </bottom>
    </border>
    <border>
      <left style="dashed"/>
      <right style="medium">
        <color indexed="23"/>
      </right>
      <top style="medium">
        <color indexed="9"/>
      </top>
      <bottom style="medium"/>
    </border>
    <border>
      <left>
        <color indexed="63"/>
      </left>
      <right style="medium">
        <color indexed="9"/>
      </right>
      <top style="medium">
        <color indexed="9"/>
      </top>
      <bottom style="medium"/>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color indexed="55"/>
      </left>
      <right style="medium">
        <color indexed="55"/>
      </right>
      <top style="medium">
        <color indexed="55"/>
      </top>
      <bottom style="medium">
        <color indexed="9"/>
      </botto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color indexed="9"/>
      </bottom>
    </border>
    <border>
      <left style="medium"/>
      <right style="dotted"/>
      <top>
        <color indexed="63"/>
      </top>
      <bottom>
        <color indexed="63"/>
      </bottom>
    </border>
    <border>
      <left style="dotted"/>
      <right style="medium">
        <color indexed="23"/>
      </right>
      <top style="dotted">
        <color indexed="9"/>
      </top>
      <bottom style="medium"/>
    </border>
    <border>
      <left style="dotted"/>
      <right style="medium">
        <color indexed="23"/>
      </right>
      <top style="medium"/>
      <bottom style="medium"/>
    </border>
    <border>
      <left style="medium"/>
      <right>
        <color indexed="63"/>
      </right>
      <top style="thin"/>
      <bottom style="medium"/>
    </border>
    <border>
      <left style="medium"/>
      <right style="thin"/>
      <top style="thin"/>
      <bottom style="thin"/>
    </border>
    <border>
      <left style="medium"/>
      <right style="thin"/>
      <top style="medium"/>
      <bottom style="thin"/>
    </border>
    <border>
      <left style="medium">
        <color indexed="55"/>
      </left>
      <right style="medium">
        <color indexed="9"/>
      </right>
      <top style="medium">
        <color indexed="55"/>
      </top>
      <bottom style="mediu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dashed"/>
      <top style="medium"/>
      <bottom style="thin"/>
    </border>
    <border>
      <left style="dashed"/>
      <right>
        <color indexed="63"/>
      </right>
      <top style="medium">
        <color indexed="9"/>
      </top>
      <bottom style="thin"/>
    </border>
    <border>
      <left style="dashed"/>
      <right>
        <color indexed="63"/>
      </right>
      <top style="thin"/>
      <bottom style="thin"/>
    </border>
    <border>
      <left style="dashed"/>
      <right>
        <color indexed="63"/>
      </right>
      <top style="thin"/>
      <bottom style="medium">
        <color indexed="9"/>
      </bottom>
    </border>
    <border>
      <left style="medium"/>
      <right style="dashed"/>
      <top style="medium"/>
      <bottom style="medium"/>
    </border>
    <border>
      <left>
        <color indexed="63"/>
      </left>
      <right style="medium"/>
      <top style="medium"/>
      <bottom style="medium"/>
    </border>
    <border>
      <left>
        <color indexed="63"/>
      </left>
      <right style="medium"/>
      <top style="thin">
        <color indexed="9"/>
      </top>
      <bottom style="medium"/>
    </border>
    <border>
      <left style="medium"/>
      <right style="medium">
        <color indexed="55"/>
      </right>
      <top style="medium"/>
      <bottom>
        <color indexed="63"/>
      </bottom>
    </border>
    <border>
      <left style="medium">
        <color indexed="55"/>
      </left>
      <right style="medium"/>
      <top style="medium"/>
      <bottom>
        <color indexed="63"/>
      </bottom>
    </border>
    <border>
      <left style="thin"/>
      <right style="medium"/>
      <top style="thin"/>
      <bottom style="medium"/>
    </border>
    <border>
      <left style="dashed"/>
      <right style="medium"/>
      <top style="thin"/>
      <bottom style="thin"/>
    </border>
    <border>
      <left style="dashed"/>
      <right style="medium"/>
      <top style="thin"/>
      <bottom style="medium"/>
    </border>
    <border>
      <left style="medium">
        <color indexed="55"/>
      </left>
      <right style="medium"/>
      <top style="medium">
        <color indexed="55"/>
      </top>
      <bottom style="medium">
        <color indexed="9"/>
      </bottom>
    </border>
    <border>
      <left style="dashed"/>
      <right style="medium"/>
      <top style="medium">
        <color indexed="9"/>
      </top>
      <bottom style="thin"/>
    </border>
    <border>
      <left style="dashed"/>
      <right style="medium"/>
      <top style="thin"/>
      <bottom style="medium">
        <color indexed="9"/>
      </bottom>
    </border>
    <border>
      <left>
        <color indexed="63"/>
      </left>
      <right style="medium"/>
      <top style="medium">
        <color indexed="9"/>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color indexed="63"/>
      </left>
      <right style="medium"/>
      <top>
        <color indexed="63"/>
      </top>
      <bottom style="hair"/>
    </border>
    <border>
      <left>
        <color indexed="63"/>
      </left>
      <right style="dashed"/>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5">
    <xf numFmtId="0" fontId="0" fillId="0" borderId="0" xfId="0" applyAlignment="1">
      <alignment/>
    </xf>
    <xf numFmtId="44" fontId="0" fillId="0" borderId="0" xfId="44" applyFont="1" applyAlignment="1">
      <alignment/>
    </xf>
    <xf numFmtId="0" fontId="2" fillId="0" borderId="0" xfId="0" applyFont="1" applyAlignment="1">
      <alignment/>
    </xf>
    <xf numFmtId="0" fontId="3" fillId="0" borderId="0" xfId="0" applyFont="1" applyAlignment="1">
      <alignment/>
    </xf>
    <xf numFmtId="0" fontId="0" fillId="0" borderId="0" xfId="0" applyFill="1" applyAlignment="1">
      <alignment/>
    </xf>
    <xf numFmtId="44" fontId="0" fillId="0" borderId="0" xfId="44" applyFont="1" applyFill="1" applyBorder="1" applyAlignment="1">
      <alignment/>
    </xf>
    <xf numFmtId="44" fontId="0" fillId="0" borderId="0" xfId="0" applyNumberFormat="1" applyAlignment="1">
      <alignment/>
    </xf>
    <xf numFmtId="0" fontId="0" fillId="0" borderId="0" xfId="0" applyBorder="1" applyAlignment="1">
      <alignment/>
    </xf>
    <xf numFmtId="44" fontId="0" fillId="0" borderId="0" xfId="44" applyFont="1" applyBorder="1" applyAlignment="1">
      <alignment/>
    </xf>
    <xf numFmtId="9" fontId="0" fillId="0" borderId="0" xfId="59" applyFont="1" applyAlignment="1">
      <alignment/>
    </xf>
    <xf numFmtId="166" fontId="0" fillId="0" borderId="0" xfId="0" applyNumberFormat="1" applyAlignment="1">
      <alignment/>
    </xf>
    <xf numFmtId="168" fontId="0" fillId="0" borderId="10" xfId="0" applyNumberFormat="1" applyBorder="1" applyAlignment="1">
      <alignment/>
    </xf>
    <xf numFmtId="44" fontId="0" fillId="0" borderId="11" xfId="0" applyNumberFormat="1" applyBorder="1" applyAlignment="1">
      <alignment/>
    </xf>
    <xf numFmtId="44" fontId="0" fillId="0" borderId="12" xfId="0" applyNumberFormat="1" applyBorder="1" applyAlignment="1">
      <alignment/>
    </xf>
    <xf numFmtId="166" fontId="0" fillId="0" borderId="12" xfId="0" applyNumberFormat="1" applyBorder="1" applyAlignment="1">
      <alignment/>
    </xf>
    <xf numFmtId="0" fontId="0" fillId="0" borderId="0" xfId="0" applyAlignment="1">
      <alignment horizontal="right"/>
    </xf>
    <xf numFmtId="166" fontId="0" fillId="0" borderId="0" xfId="44" applyNumberFormat="1" applyFont="1" applyAlignment="1">
      <alignment/>
    </xf>
    <xf numFmtId="43" fontId="0" fillId="0" borderId="0" xfId="0" applyNumberFormat="1" applyAlignment="1">
      <alignment/>
    </xf>
    <xf numFmtId="9" fontId="0" fillId="0" borderId="10" xfId="59" applyFont="1" applyBorder="1" applyAlignment="1">
      <alignment horizontal="right"/>
    </xf>
    <xf numFmtId="168" fontId="0" fillId="0" borderId="0" xfId="0" applyNumberFormat="1" applyAlignment="1">
      <alignment/>
    </xf>
    <xf numFmtId="168" fontId="0" fillId="0" borderId="11" xfId="0" applyNumberFormat="1" applyBorder="1" applyAlignment="1">
      <alignment/>
    </xf>
    <xf numFmtId="0" fontId="5" fillId="0" borderId="0" xfId="0" applyFont="1" applyAlignment="1">
      <alignment/>
    </xf>
    <xf numFmtId="0" fontId="3" fillId="0" borderId="0" xfId="0" applyFont="1" applyBorder="1" applyAlignment="1">
      <alignment/>
    </xf>
    <xf numFmtId="0" fontId="0" fillId="0" borderId="13" xfId="0" applyBorder="1" applyAlignment="1">
      <alignment/>
    </xf>
    <xf numFmtId="0" fontId="0" fillId="0" borderId="14" xfId="0" applyBorder="1" applyAlignment="1">
      <alignment/>
    </xf>
    <xf numFmtId="44" fontId="0" fillId="0" borderId="0" xfId="44" applyFont="1" applyFill="1" applyAlignment="1">
      <alignment/>
    </xf>
    <xf numFmtId="165" fontId="0" fillId="0" borderId="0" xfId="42" applyNumberFormat="1" applyFont="1" applyBorder="1" applyAlignment="1">
      <alignment/>
    </xf>
    <xf numFmtId="0" fontId="3" fillId="0" borderId="0" xfId="0" applyFont="1" applyBorder="1" applyAlignment="1">
      <alignment horizontal="left"/>
    </xf>
    <xf numFmtId="0" fontId="7" fillId="0" borderId="0" xfId="0" applyFont="1" applyBorder="1" applyAlignment="1">
      <alignment horizontal="left" wrapText="1"/>
    </xf>
    <xf numFmtId="0" fontId="9"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8" fillId="0" borderId="0" xfId="0" applyFont="1" applyBorder="1" applyAlignment="1">
      <alignment wrapText="1"/>
    </xf>
    <xf numFmtId="0" fontId="0" fillId="33" borderId="15" xfId="0" applyFill="1" applyBorder="1" applyAlignment="1">
      <alignment wrapText="1"/>
    </xf>
    <xf numFmtId="0" fontId="0"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4" borderId="18" xfId="0" applyFill="1" applyBorder="1" applyAlignment="1">
      <alignment/>
    </xf>
    <xf numFmtId="44" fontId="0" fillId="34" borderId="19" xfId="44" applyFont="1" applyFill="1" applyBorder="1" applyAlignment="1">
      <alignment/>
    </xf>
    <xf numFmtId="44" fontId="0" fillId="34" borderId="14" xfId="44" applyFont="1" applyFill="1" applyBorder="1" applyAlignment="1">
      <alignment/>
    </xf>
    <xf numFmtId="0" fontId="0" fillId="34" borderId="15" xfId="0" applyFill="1" applyBorder="1" applyAlignment="1">
      <alignment wrapText="1"/>
    </xf>
    <xf numFmtId="0" fontId="0" fillId="34" borderId="17"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16" xfId="0" applyFill="1" applyBorder="1" applyAlignment="1">
      <alignment/>
    </xf>
    <xf numFmtId="0" fontId="0" fillId="0" borderId="17" xfId="0" applyBorder="1" applyAlignment="1">
      <alignment/>
    </xf>
    <xf numFmtId="0" fontId="0" fillId="34" borderId="22" xfId="0" applyFill="1" applyBorder="1" applyAlignment="1">
      <alignment wrapText="1"/>
    </xf>
    <xf numFmtId="165" fontId="0" fillId="34" borderId="21" xfId="42" applyNumberFormat="1" applyFont="1" applyFill="1" applyBorder="1" applyAlignment="1">
      <alignment/>
    </xf>
    <xf numFmtId="0" fontId="4" fillId="33" borderId="23" xfId="0" applyFont="1" applyFill="1" applyBorder="1" applyAlignment="1">
      <alignment horizontal="left"/>
    </xf>
    <xf numFmtId="0" fontId="0" fillId="33" borderId="22" xfId="0" applyFill="1" applyBorder="1" applyAlignment="1">
      <alignment wrapText="1"/>
    </xf>
    <xf numFmtId="0" fontId="0" fillId="33" borderId="21" xfId="0" applyFill="1" applyBorder="1" applyAlignment="1">
      <alignment wrapText="1"/>
    </xf>
    <xf numFmtId="0" fontId="0" fillId="33" borderId="16" xfId="0" applyFill="1" applyBorder="1" applyAlignment="1">
      <alignment wrapText="1"/>
    </xf>
    <xf numFmtId="0" fontId="0" fillId="34" borderId="24" xfId="0" applyFill="1" applyBorder="1" applyAlignment="1">
      <alignment wrapText="1"/>
    </xf>
    <xf numFmtId="165" fontId="0" fillId="34" borderId="16" xfId="42" applyNumberFormat="1" applyFont="1" applyFill="1" applyBorder="1" applyAlignment="1">
      <alignment/>
    </xf>
    <xf numFmtId="0" fontId="0" fillId="34" borderId="25" xfId="0" applyFill="1" applyBorder="1" applyAlignment="1">
      <alignment wrapText="1"/>
    </xf>
    <xf numFmtId="0" fontId="0" fillId="34" borderId="16" xfId="0" applyFill="1" applyBorder="1" applyAlignment="1">
      <alignment wrapText="1"/>
    </xf>
    <xf numFmtId="0" fontId="0" fillId="34" borderId="21" xfId="0" applyFill="1" applyBorder="1" applyAlignment="1">
      <alignment wrapText="1"/>
    </xf>
    <xf numFmtId="165" fontId="0" fillId="34" borderId="26" xfId="42" applyNumberFormat="1" applyFont="1" applyFill="1" applyBorder="1" applyAlignment="1">
      <alignment/>
    </xf>
    <xf numFmtId="43" fontId="0" fillId="34" borderId="27" xfId="42" applyFont="1" applyFill="1" applyBorder="1" applyAlignment="1">
      <alignment/>
    </xf>
    <xf numFmtId="0" fontId="0" fillId="34" borderId="28" xfId="0" applyFill="1" applyBorder="1" applyAlignment="1">
      <alignment wrapText="1"/>
    </xf>
    <xf numFmtId="0" fontId="2" fillId="34" borderId="29" xfId="0" applyFont="1" applyFill="1" applyBorder="1" applyAlignment="1">
      <alignment wrapText="1"/>
    </xf>
    <xf numFmtId="0" fontId="4" fillId="34" borderId="28" xfId="0" applyFont="1" applyFill="1" applyBorder="1" applyAlignment="1">
      <alignment horizontal="left" wrapText="1"/>
    </xf>
    <xf numFmtId="0" fontId="0" fillId="34" borderId="30" xfId="0" applyFill="1" applyBorder="1" applyAlignment="1">
      <alignment/>
    </xf>
    <xf numFmtId="0" fontId="0" fillId="34" borderId="13" xfId="0" applyFill="1" applyBorder="1" applyAlignment="1">
      <alignment wrapText="1"/>
    </xf>
    <xf numFmtId="0" fontId="0" fillId="34" borderId="31" xfId="0" applyFill="1" applyBorder="1" applyAlignment="1">
      <alignment/>
    </xf>
    <xf numFmtId="0" fontId="0" fillId="34" borderId="32" xfId="0" applyFill="1" applyBorder="1" applyAlignment="1">
      <alignment/>
    </xf>
    <xf numFmtId="0" fontId="0" fillId="34" borderId="22" xfId="0" applyFill="1" applyBorder="1" applyAlignment="1">
      <alignment/>
    </xf>
    <xf numFmtId="0" fontId="11" fillId="0" borderId="0" xfId="0" applyFont="1" applyBorder="1" applyAlignment="1">
      <alignment wrapText="1"/>
    </xf>
    <xf numFmtId="0" fontId="2" fillId="34" borderId="29" xfId="0" applyFont="1" applyFill="1" applyBorder="1" applyAlignment="1">
      <alignment/>
    </xf>
    <xf numFmtId="166" fontId="2" fillId="34" borderId="33" xfId="44" applyNumberFormat="1" applyFont="1" applyFill="1" applyBorder="1" applyAlignment="1">
      <alignment/>
    </xf>
    <xf numFmtId="0" fontId="0" fillId="34" borderId="34" xfId="0" applyFill="1" applyBorder="1" applyAlignment="1">
      <alignment/>
    </xf>
    <xf numFmtId="0" fontId="0" fillId="0" borderId="0" xfId="0" applyFill="1" applyAlignment="1">
      <alignment horizontal="right"/>
    </xf>
    <xf numFmtId="166" fontId="0" fillId="0" borderId="0" xfId="44" applyNumberFormat="1" applyFont="1" applyFill="1" applyBorder="1" applyAlignment="1">
      <alignment/>
    </xf>
    <xf numFmtId="0" fontId="0" fillId="34" borderId="35" xfId="0" applyFill="1" applyBorder="1" applyAlignment="1">
      <alignment wrapText="1"/>
    </xf>
    <xf numFmtId="0" fontId="3" fillId="34" borderId="18" xfId="0" applyFont="1" applyFill="1" applyBorder="1" applyAlignment="1">
      <alignment horizontal="left" wrapText="1"/>
    </xf>
    <xf numFmtId="0" fontId="6" fillId="34" borderId="17" xfId="0" applyFont="1" applyFill="1" applyBorder="1" applyAlignment="1">
      <alignment wrapText="1"/>
    </xf>
    <xf numFmtId="0" fontId="0" fillId="34" borderId="36" xfId="0" applyFill="1" applyBorder="1" applyAlignment="1">
      <alignment/>
    </xf>
    <xf numFmtId="0" fontId="13" fillId="0" borderId="0" xfId="0" applyFont="1" applyBorder="1" applyAlignment="1">
      <alignment horizontal="left" wrapText="1" indent="1"/>
    </xf>
    <xf numFmtId="0" fontId="12" fillId="0" borderId="0" xfId="0" applyFont="1" applyBorder="1" applyAlignment="1">
      <alignment horizontal="left" wrapText="1" indent="1"/>
    </xf>
    <xf numFmtId="44" fontId="4" fillId="0" borderId="0" xfId="44" applyFont="1" applyFill="1" applyBorder="1" applyAlignment="1">
      <alignment horizontal="left"/>
    </xf>
    <xf numFmtId="0" fontId="13" fillId="0" borderId="0" xfId="0" applyFont="1" applyAlignment="1">
      <alignment horizontal="left" wrapText="1"/>
    </xf>
    <xf numFmtId="0" fontId="0" fillId="34" borderId="35" xfId="0" applyFill="1" applyBorder="1" applyAlignment="1">
      <alignment/>
    </xf>
    <xf numFmtId="0" fontId="0" fillId="0" borderId="0" xfId="0" applyFill="1" applyBorder="1" applyAlignment="1">
      <alignment wrapText="1"/>
    </xf>
    <xf numFmtId="0" fontId="0" fillId="0" borderId="37" xfId="0" applyFill="1" applyBorder="1" applyAlignment="1">
      <alignment wrapText="1"/>
    </xf>
    <xf numFmtId="0" fontId="0" fillId="0" borderId="16" xfId="0" applyBorder="1" applyAlignment="1">
      <alignment/>
    </xf>
    <xf numFmtId="0" fontId="0" fillId="0" borderId="20" xfId="0" applyBorder="1" applyAlignment="1">
      <alignment/>
    </xf>
    <xf numFmtId="166" fontId="0" fillId="33" borderId="38" xfId="0" applyNumberFormat="1" applyFill="1" applyBorder="1" applyAlignment="1">
      <alignment/>
    </xf>
    <xf numFmtId="0" fontId="3" fillId="34" borderId="39" xfId="0" applyFont="1" applyFill="1" applyBorder="1" applyAlignment="1">
      <alignment horizontal="left" wrapText="1"/>
    </xf>
    <xf numFmtId="166" fontId="2" fillId="34" borderId="40" xfId="44" applyNumberFormat="1" applyFont="1" applyFill="1" applyBorder="1" applyAlignment="1">
      <alignment/>
    </xf>
    <xf numFmtId="0" fontId="3" fillId="34" borderId="41" xfId="0" applyFont="1" applyFill="1" applyBorder="1" applyAlignment="1">
      <alignment horizontal="left" wrapText="1"/>
    </xf>
    <xf numFmtId="0" fontId="3" fillId="33" borderId="22" xfId="0" applyFont="1" applyFill="1" applyBorder="1" applyAlignment="1">
      <alignment/>
    </xf>
    <xf numFmtId="0" fontId="0" fillId="33" borderId="13" xfId="0" applyFill="1" applyBorder="1" applyAlignment="1">
      <alignment horizontal="right"/>
    </xf>
    <xf numFmtId="0" fontId="0" fillId="33" borderId="42" xfId="0" applyFill="1" applyBorder="1" applyAlignment="1">
      <alignment horizontal="right"/>
    </xf>
    <xf numFmtId="0" fontId="0" fillId="33" borderId="21" xfId="0" applyFill="1" applyBorder="1" applyAlignment="1">
      <alignment/>
    </xf>
    <xf numFmtId="0" fontId="0" fillId="35" borderId="16" xfId="0" applyFill="1" applyBorder="1" applyAlignment="1">
      <alignment wrapText="1"/>
    </xf>
    <xf numFmtId="166" fontId="0" fillId="35" borderId="0" xfId="0" applyNumberFormat="1" applyFill="1" applyBorder="1" applyAlignment="1">
      <alignment/>
    </xf>
    <xf numFmtId="44" fontId="0" fillId="35" borderId="0" xfId="44" applyFont="1" applyFill="1" applyBorder="1" applyAlignment="1">
      <alignment/>
    </xf>
    <xf numFmtId="0" fontId="0" fillId="35" borderId="20" xfId="0" applyFill="1" applyBorder="1" applyAlignment="1">
      <alignment wrapText="1"/>
    </xf>
    <xf numFmtId="166" fontId="2" fillId="34" borderId="43" xfId="44" applyNumberFormat="1" applyFont="1" applyFill="1" applyBorder="1" applyAlignment="1">
      <alignment/>
    </xf>
    <xf numFmtId="0" fontId="0" fillId="36" borderId="44" xfId="0" applyFill="1" applyBorder="1" applyAlignment="1" applyProtection="1">
      <alignment/>
      <protection locked="0"/>
    </xf>
    <xf numFmtId="0" fontId="0" fillId="36" borderId="45" xfId="44" applyNumberFormat="1" applyFont="1" applyFill="1" applyBorder="1" applyAlignment="1" applyProtection="1">
      <alignment/>
      <protection locked="0"/>
    </xf>
    <xf numFmtId="0" fontId="0" fillId="36" borderId="46" xfId="44" applyNumberFormat="1" applyFont="1" applyFill="1" applyBorder="1" applyAlignment="1" applyProtection="1">
      <alignment/>
      <protection locked="0"/>
    </xf>
    <xf numFmtId="9" fontId="0" fillId="36" borderId="47" xfId="44" applyNumberFormat="1" applyFont="1" applyFill="1" applyBorder="1" applyAlignment="1" applyProtection="1">
      <alignment/>
      <protection locked="0"/>
    </xf>
    <xf numFmtId="166" fontId="0" fillId="36" borderId="16" xfId="44" applyNumberFormat="1" applyFont="1" applyFill="1" applyBorder="1" applyAlignment="1" applyProtection="1">
      <alignment/>
      <protection locked="0"/>
    </xf>
    <xf numFmtId="166" fontId="0" fillId="36" borderId="17" xfId="44" applyNumberFormat="1" applyFont="1" applyFill="1" applyBorder="1" applyAlignment="1" applyProtection="1">
      <alignment/>
      <protection locked="0"/>
    </xf>
    <xf numFmtId="178" fontId="0" fillId="36" borderId="48" xfId="44" applyNumberFormat="1" applyFont="1" applyFill="1" applyBorder="1" applyAlignment="1" applyProtection="1">
      <alignment/>
      <protection locked="0"/>
    </xf>
    <xf numFmtId="178" fontId="0" fillId="36" borderId="49" xfId="44" applyNumberFormat="1" applyFont="1" applyFill="1" applyBorder="1" applyAlignment="1" applyProtection="1">
      <alignment/>
      <protection locked="0"/>
    </xf>
    <xf numFmtId="178" fontId="2" fillId="33" borderId="33" xfId="44" applyNumberFormat="1" applyFont="1" applyFill="1" applyBorder="1" applyAlignment="1">
      <alignment/>
    </xf>
    <xf numFmtId="7" fontId="0" fillId="36" borderId="46" xfId="44" applyNumberFormat="1" applyFont="1" applyFill="1" applyBorder="1" applyAlignment="1" applyProtection="1">
      <alignment/>
      <protection locked="0"/>
    </xf>
    <xf numFmtId="7" fontId="2" fillId="34" borderId="33" xfId="44" applyNumberFormat="1" applyFont="1" applyFill="1" applyBorder="1" applyAlignment="1">
      <alignment/>
    </xf>
    <xf numFmtId="7" fontId="0" fillId="34" borderId="0" xfId="44" applyNumberFormat="1" applyFont="1" applyFill="1" applyBorder="1" applyAlignment="1">
      <alignment/>
    </xf>
    <xf numFmtId="7" fontId="2" fillId="34" borderId="50" xfId="44" applyNumberFormat="1" applyFont="1" applyFill="1" applyBorder="1" applyAlignment="1">
      <alignment/>
    </xf>
    <xf numFmtId="178" fontId="2" fillId="33" borderId="51" xfId="44" applyNumberFormat="1" applyFont="1" applyFill="1" applyBorder="1" applyAlignment="1">
      <alignment/>
    </xf>
    <xf numFmtId="178" fontId="0" fillId="36" borderId="46" xfId="44" applyNumberFormat="1" applyFont="1" applyFill="1" applyBorder="1" applyAlignment="1" applyProtection="1">
      <alignment/>
      <protection locked="0"/>
    </xf>
    <xf numFmtId="44" fontId="0" fillId="0" borderId="52" xfId="44" applyFont="1" applyBorder="1" applyAlignment="1">
      <alignment/>
    </xf>
    <xf numFmtId="0" fontId="0" fillId="0" borderId="52" xfId="0" applyBorder="1" applyAlignment="1">
      <alignment/>
    </xf>
    <xf numFmtId="37" fontId="0" fillId="36" borderId="46" xfId="44" applyNumberFormat="1" applyFont="1" applyFill="1" applyBorder="1" applyAlignment="1" applyProtection="1">
      <alignment/>
      <protection locked="0"/>
    </xf>
    <xf numFmtId="0" fontId="13" fillId="0" borderId="53" xfId="0" applyFont="1" applyBorder="1" applyAlignment="1">
      <alignment wrapText="1"/>
    </xf>
    <xf numFmtId="0" fontId="0" fillId="0" borderId="54" xfId="0" applyBorder="1" applyAlignment="1">
      <alignment/>
    </xf>
    <xf numFmtId="0" fontId="13" fillId="0" borderId="53" xfId="0" applyFont="1" applyFill="1" applyBorder="1" applyAlignment="1">
      <alignment wrapText="1"/>
    </xf>
    <xf numFmtId="0" fontId="13" fillId="0" borderId="52" xfId="0" applyFont="1" applyBorder="1" applyAlignment="1">
      <alignment horizontal="left" wrapText="1"/>
    </xf>
    <xf numFmtId="7" fontId="0" fillId="36" borderId="55" xfId="44" applyNumberFormat="1" applyFont="1" applyFill="1" applyBorder="1" applyAlignment="1" applyProtection="1">
      <alignment/>
      <protection locked="0"/>
    </xf>
    <xf numFmtId="7" fontId="0" fillId="0" borderId="0" xfId="0" applyNumberFormat="1" applyAlignment="1">
      <alignment/>
    </xf>
    <xf numFmtId="7" fontId="0" fillId="0" borderId="0" xfId="0" applyNumberFormat="1" applyFont="1" applyAlignment="1">
      <alignment/>
    </xf>
    <xf numFmtId="0" fontId="0" fillId="33" borderId="31" xfId="0" applyFill="1" applyBorder="1" applyAlignment="1">
      <alignment/>
    </xf>
    <xf numFmtId="0" fontId="10" fillId="36" borderId="56" xfId="0" applyFont="1" applyFill="1" applyBorder="1" applyAlignment="1">
      <alignment horizontal="right"/>
    </xf>
    <xf numFmtId="0" fontId="13" fillId="0" borderId="0" xfId="0" applyFont="1" applyBorder="1" applyAlignment="1">
      <alignment wrapText="1"/>
    </xf>
    <xf numFmtId="0" fontId="0" fillId="36" borderId="57" xfId="0" applyFill="1" applyBorder="1" applyAlignment="1" applyProtection="1">
      <alignment/>
      <protection locked="0"/>
    </xf>
    <xf numFmtId="0" fontId="0" fillId="36" borderId="58" xfId="0" applyFill="1" applyBorder="1" applyAlignment="1" applyProtection="1">
      <alignment/>
      <protection locked="0"/>
    </xf>
    <xf numFmtId="178" fontId="0" fillId="36" borderId="57" xfId="44" applyNumberFormat="1" applyFont="1" applyFill="1" applyBorder="1" applyAlignment="1" applyProtection="1">
      <alignment/>
      <protection locked="0"/>
    </xf>
    <xf numFmtId="178" fontId="0" fillId="36" borderId="58" xfId="44" applyNumberFormat="1" applyFont="1" applyFill="1" applyBorder="1" applyAlignment="1" applyProtection="1">
      <alignment/>
      <protection locked="0"/>
    </xf>
    <xf numFmtId="178" fontId="0" fillId="36" borderId="59" xfId="44" applyNumberFormat="1" applyFont="1" applyFill="1" applyBorder="1" applyAlignment="1" applyProtection="1">
      <alignment/>
      <protection locked="0"/>
    </xf>
    <xf numFmtId="7" fontId="0" fillId="36" borderId="57" xfId="44" applyNumberFormat="1" applyFont="1" applyFill="1" applyBorder="1" applyAlignment="1" applyProtection="1">
      <alignment/>
      <protection locked="0"/>
    </xf>
    <xf numFmtId="7" fontId="0" fillId="36" borderId="58" xfId="44" applyNumberFormat="1" applyFont="1" applyFill="1" applyBorder="1" applyAlignment="1" applyProtection="1">
      <alignment/>
      <protection locked="0"/>
    </xf>
    <xf numFmtId="7" fontId="0" fillId="36" borderId="59" xfId="44" applyNumberFormat="1" applyFont="1" applyFill="1" applyBorder="1" applyAlignment="1" applyProtection="1">
      <alignment/>
      <protection locked="0"/>
    </xf>
    <xf numFmtId="0" fontId="0" fillId="33" borderId="35" xfId="0" applyFill="1" applyBorder="1" applyAlignment="1">
      <alignment/>
    </xf>
    <xf numFmtId="0" fontId="0" fillId="33" borderId="22" xfId="0" applyFill="1" applyBorder="1" applyAlignment="1">
      <alignment/>
    </xf>
    <xf numFmtId="0" fontId="3" fillId="33" borderId="60" xfId="0" applyFont="1" applyFill="1" applyBorder="1" applyAlignment="1">
      <alignment horizontal="right"/>
    </xf>
    <xf numFmtId="0" fontId="3" fillId="33" borderId="60" xfId="0" applyFont="1" applyFill="1" applyBorder="1" applyAlignment="1">
      <alignment horizontal="right" wrapText="1"/>
    </xf>
    <xf numFmtId="7" fontId="2" fillId="33" borderId="61" xfId="0" applyNumberFormat="1" applyFont="1" applyFill="1" applyBorder="1" applyAlignment="1">
      <alignment/>
    </xf>
    <xf numFmtId="7" fontId="2" fillId="33" borderId="62" xfId="44" applyNumberFormat="1" applyFont="1" applyFill="1" applyBorder="1" applyAlignment="1">
      <alignment/>
    </xf>
    <xf numFmtId="0" fontId="0" fillId="33" borderId="63" xfId="0" applyFill="1" applyBorder="1" applyAlignment="1">
      <alignment wrapText="1"/>
    </xf>
    <xf numFmtId="7" fontId="0" fillId="0" borderId="0" xfId="0" applyNumberFormat="1" applyBorder="1" applyAlignment="1">
      <alignment/>
    </xf>
    <xf numFmtId="0" fontId="0" fillId="37" borderId="64" xfId="0" applyFill="1" applyBorder="1" applyAlignment="1" applyProtection="1">
      <alignment/>
      <protection locked="0"/>
    </xf>
    <xf numFmtId="0" fontId="0" fillId="37" borderId="65" xfId="0" applyFill="1" applyBorder="1" applyAlignment="1" applyProtection="1">
      <alignment wrapText="1"/>
      <protection locked="0"/>
    </xf>
    <xf numFmtId="0" fontId="0" fillId="37" borderId="64" xfId="0" applyFill="1" applyBorder="1" applyAlignment="1" applyProtection="1">
      <alignment wrapText="1"/>
      <protection locked="0"/>
    </xf>
    <xf numFmtId="0" fontId="0" fillId="37" borderId="15" xfId="0" applyFill="1" applyBorder="1" applyAlignment="1" applyProtection="1">
      <alignment wrapText="1"/>
      <protection locked="0"/>
    </xf>
    <xf numFmtId="0" fontId="4" fillId="0" borderId="14"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165" fontId="0" fillId="36" borderId="66" xfId="42" applyNumberFormat="1" applyFont="1" applyFill="1" applyBorder="1" applyAlignment="1" applyProtection="1">
      <alignment/>
      <protection locked="0"/>
    </xf>
    <xf numFmtId="0" fontId="0" fillId="33" borderId="20" xfId="0" applyFill="1" applyBorder="1" applyAlignment="1">
      <alignment/>
    </xf>
    <xf numFmtId="0" fontId="60" fillId="0" borderId="0" xfId="0" applyFont="1" applyAlignment="1">
      <alignment/>
    </xf>
    <xf numFmtId="0" fontId="60" fillId="0" borderId="0" xfId="0" applyFont="1" applyAlignment="1">
      <alignment horizontal="center"/>
    </xf>
    <xf numFmtId="0" fontId="61" fillId="0" borderId="0" xfId="0" applyFont="1" applyAlignment="1">
      <alignment/>
    </xf>
    <xf numFmtId="0" fontId="61" fillId="0" borderId="0" xfId="0" applyFont="1" applyAlignment="1">
      <alignment horizontal="center"/>
    </xf>
    <xf numFmtId="14" fontId="61" fillId="0" borderId="0" xfId="0" applyNumberFormat="1" applyFont="1" applyAlignment="1">
      <alignment horizontal="left"/>
    </xf>
    <xf numFmtId="0" fontId="62" fillId="0" borderId="56" xfId="0" applyFont="1" applyBorder="1" applyAlignment="1">
      <alignment/>
    </xf>
    <xf numFmtId="0" fontId="62" fillId="0" borderId="67" xfId="0" applyFont="1" applyBorder="1" applyAlignment="1">
      <alignment horizontal="center" wrapText="1"/>
    </xf>
    <xf numFmtId="0" fontId="62" fillId="0" borderId="0" xfId="0" applyFont="1" applyAlignment="1">
      <alignment/>
    </xf>
    <xf numFmtId="0" fontId="61" fillId="0" borderId="68" xfId="0" applyFont="1" applyBorder="1" applyAlignment="1">
      <alignment/>
    </xf>
    <xf numFmtId="0" fontId="61" fillId="0" borderId="69" xfId="0" applyFont="1" applyBorder="1" applyAlignment="1">
      <alignment horizontal="center"/>
    </xf>
    <xf numFmtId="168" fontId="61" fillId="0" borderId="69" xfId="0" applyNumberFormat="1" applyFont="1" applyBorder="1" applyAlignment="1">
      <alignment horizontal="center"/>
    </xf>
    <xf numFmtId="3" fontId="61" fillId="0" borderId="69" xfId="0" applyNumberFormat="1" applyFont="1" applyBorder="1" applyAlignment="1">
      <alignment horizontal="center"/>
    </xf>
    <xf numFmtId="0" fontId="61" fillId="38" borderId="69" xfId="0" applyFont="1" applyFill="1" applyBorder="1" applyAlignment="1">
      <alignment horizontal="center"/>
    </xf>
    <xf numFmtId="1" fontId="0" fillId="0" borderId="0" xfId="0" applyNumberFormat="1" applyAlignment="1">
      <alignment/>
    </xf>
    <xf numFmtId="0" fontId="0" fillId="0" borderId="0" xfId="0" applyAlignment="1">
      <alignment horizontal="left"/>
    </xf>
    <xf numFmtId="0" fontId="4" fillId="0" borderId="56" xfId="0" applyFont="1" applyBorder="1" applyAlignment="1">
      <alignment horizontal="right" wrapText="1"/>
    </xf>
    <xf numFmtId="168" fontId="0" fillId="0" borderId="56" xfId="0" applyNumberFormat="1" applyBorder="1" applyAlignment="1">
      <alignment/>
    </xf>
    <xf numFmtId="0" fontId="0" fillId="0" borderId="56" xfId="0" applyBorder="1" applyAlignment="1">
      <alignment/>
    </xf>
    <xf numFmtId="1" fontId="0" fillId="0" borderId="56" xfId="0" applyNumberFormat="1" applyBorder="1" applyAlignment="1">
      <alignment/>
    </xf>
    <xf numFmtId="0" fontId="0" fillId="34" borderId="70" xfId="0" applyFill="1" applyBorder="1" applyAlignment="1">
      <alignment/>
    </xf>
    <xf numFmtId="0" fontId="0" fillId="34" borderId="23" xfId="0" applyFill="1" applyBorder="1" applyAlignment="1">
      <alignment/>
    </xf>
    <xf numFmtId="7" fontId="2" fillId="33" borderId="33" xfId="44" applyNumberFormat="1" applyFont="1" applyFill="1" applyBorder="1" applyAlignment="1">
      <alignment wrapText="1"/>
    </xf>
    <xf numFmtId="0" fontId="0" fillId="34" borderId="17" xfId="0" applyFill="1" applyBorder="1" applyAlignment="1">
      <alignment wrapText="1"/>
    </xf>
    <xf numFmtId="0" fontId="0" fillId="34" borderId="0" xfId="0" applyFill="1" applyBorder="1" applyAlignment="1">
      <alignment/>
    </xf>
    <xf numFmtId="9" fontId="2" fillId="34" borderId="0" xfId="59" applyFont="1" applyFill="1" applyBorder="1" applyAlignment="1">
      <alignment/>
    </xf>
    <xf numFmtId="0" fontId="2" fillId="33" borderId="63" xfId="0" applyFont="1" applyFill="1" applyBorder="1" applyAlignment="1">
      <alignment wrapText="1"/>
    </xf>
    <xf numFmtId="0" fontId="2" fillId="34" borderId="63" xfId="0" applyFont="1" applyFill="1" applyBorder="1" applyAlignment="1">
      <alignment wrapText="1"/>
    </xf>
    <xf numFmtId="44" fontId="0" fillId="34" borderId="0" xfId="44" applyFont="1" applyFill="1" applyBorder="1" applyAlignment="1">
      <alignment/>
    </xf>
    <xf numFmtId="7" fontId="0" fillId="39" borderId="71" xfId="44" applyNumberFormat="1" applyFont="1" applyFill="1" applyBorder="1" applyAlignment="1">
      <alignment wrapText="1"/>
    </xf>
    <xf numFmtId="37" fontId="0" fillId="40" borderId="72" xfId="44" applyNumberFormat="1" applyFont="1" applyFill="1" applyBorder="1" applyAlignment="1">
      <alignment wrapText="1"/>
    </xf>
    <xf numFmtId="7" fontId="0" fillId="40" borderId="73" xfId="44" applyNumberFormat="1" applyFont="1" applyFill="1" applyBorder="1" applyAlignment="1">
      <alignment wrapText="1"/>
    </xf>
    <xf numFmtId="165" fontId="0" fillId="40" borderId="72" xfId="42" applyNumberFormat="1" applyFont="1" applyFill="1" applyBorder="1" applyAlignment="1">
      <alignment wrapText="1"/>
    </xf>
    <xf numFmtId="0" fontId="0" fillId="0" borderId="52" xfId="0" applyBorder="1" applyAlignment="1">
      <alignment wrapText="1"/>
    </xf>
    <xf numFmtId="0" fontId="63" fillId="0" borderId="0" xfId="0" applyFont="1" applyAlignment="1">
      <alignment wrapText="1"/>
    </xf>
    <xf numFmtId="0" fontId="0" fillId="34" borderId="74" xfId="0" applyFill="1" applyBorder="1" applyAlignment="1">
      <alignment wrapText="1"/>
    </xf>
    <xf numFmtId="165" fontId="0" fillId="36" borderId="75" xfId="42" applyNumberFormat="1" applyFont="1" applyFill="1" applyBorder="1" applyAlignment="1">
      <alignment/>
    </xf>
    <xf numFmtId="165" fontId="0" fillId="41" borderId="17" xfId="42" applyNumberFormat="1" applyFont="1" applyFill="1" applyBorder="1" applyAlignment="1">
      <alignment/>
    </xf>
    <xf numFmtId="0" fontId="0" fillId="0" borderId="76" xfId="0" applyBorder="1" applyAlignment="1">
      <alignment/>
    </xf>
    <xf numFmtId="0" fontId="0" fillId="33" borderId="77" xfId="0" applyFill="1" applyBorder="1" applyAlignment="1">
      <alignment wrapText="1"/>
    </xf>
    <xf numFmtId="165" fontId="0" fillId="36" borderId="78" xfId="44" applyNumberFormat="1" applyFont="1" applyFill="1" applyBorder="1" applyAlignment="1" applyProtection="1">
      <alignment/>
      <protection locked="0"/>
    </xf>
    <xf numFmtId="0" fontId="0" fillId="36" borderId="79" xfId="0" applyFill="1" applyBorder="1" applyAlignment="1">
      <alignment/>
    </xf>
    <xf numFmtId="165" fontId="0" fillId="36" borderId="16" xfId="42" applyNumberFormat="1" applyFont="1" applyFill="1" applyBorder="1" applyAlignment="1">
      <alignment/>
    </xf>
    <xf numFmtId="165" fontId="0" fillId="34" borderId="80" xfId="42" applyNumberFormat="1" applyFont="1" applyFill="1" applyBorder="1" applyAlignment="1">
      <alignment/>
    </xf>
    <xf numFmtId="7" fontId="0" fillId="34" borderId="80" xfId="0" applyNumberFormat="1" applyFill="1" applyBorder="1" applyAlignment="1">
      <alignment/>
    </xf>
    <xf numFmtId="7" fontId="0" fillId="34" borderId="81" xfId="0" applyNumberFormat="1" applyFill="1" applyBorder="1" applyAlignment="1">
      <alignment/>
    </xf>
    <xf numFmtId="37" fontId="0" fillId="36" borderId="82" xfId="44" applyNumberFormat="1" applyFont="1" applyFill="1" applyBorder="1" applyAlignment="1" applyProtection="1">
      <alignment/>
      <protection locked="0"/>
    </xf>
    <xf numFmtId="7" fontId="0" fillId="39" borderId="83" xfId="44" applyNumberFormat="1" applyFont="1" applyFill="1" applyBorder="1" applyAlignment="1">
      <alignment wrapText="1"/>
    </xf>
    <xf numFmtId="37" fontId="0" fillId="42" borderId="80" xfId="44" applyNumberFormat="1" applyFont="1" applyFill="1" applyBorder="1" applyAlignment="1">
      <alignment wrapText="1"/>
    </xf>
    <xf numFmtId="7" fontId="0" fillId="42" borderId="84" xfId="44" applyNumberFormat="1" applyFont="1" applyFill="1" applyBorder="1" applyAlignment="1">
      <alignment wrapText="1"/>
    </xf>
    <xf numFmtId="165" fontId="0" fillId="42" borderId="80" xfId="42" applyNumberFormat="1" applyFont="1" applyFill="1" applyBorder="1" applyAlignment="1">
      <alignment wrapText="1"/>
    </xf>
    <xf numFmtId="7" fontId="2" fillId="34" borderId="85" xfId="44" applyNumberFormat="1" applyFont="1" applyFill="1" applyBorder="1" applyAlignment="1">
      <alignment wrapText="1"/>
    </xf>
    <xf numFmtId="0" fontId="64" fillId="0" borderId="0" xfId="0" applyFont="1" applyBorder="1" applyAlignment="1">
      <alignment wrapText="1"/>
    </xf>
    <xf numFmtId="0" fontId="64" fillId="0" borderId="18" xfId="0" applyFont="1" applyBorder="1" applyAlignment="1">
      <alignment wrapText="1"/>
    </xf>
    <xf numFmtId="0" fontId="64" fillId="0" borderId="0" xfId="0" applyFont="1" applyAlignment="1">
      <alignment wrapText="1"/>
    </xf>
    <xf numFmtId="0" fontId="0" fillId="0" borderId="0" xfId="0" applyAlignment="1">
      <alignment wrapText="1"/>
    </xf>
    <xf numFmtId="0" fontId="3" fillId="34" borderId="18" xfId="0" applyFont="1" applyFill="1" applyBorder="1" applyAlignment="1">
      <alignment horizontal="center"/>
    </xf>
    <xf numFmtId="0" fontId="3" fillId="34" borderId="0" xfId="0" applyFont="1" applyFill="1" applyBorder="1" applyAlignment="1">
      <alignment horizontal="center"/>
    </xf>
    <xf numFmtId="0" fontId="3" fillId="34" borderId="17" xfId="0" applyFont="1" applyFill="1" applyBorder="1" applyAlignment="1">
      <alignment horizontal="center"/>
    </xf>
    <xf numFmtId="0" fontId="10" fillId="33" borderId="22" xfId="0" applyFont="1" applyFill="1" applyBorder="1" applyAlignment="1">
      <alignment horizontal="center"/>
    </xf>
    <xf numFmtId="0" fontId="10" fillId="33" borderId="21" xfId="0" applyFont="1" applyFill="1" applyBorder="1" applyAlignment="1">
      <alignment horizontal="center"/>
    </xf>
    <xf numFmtId="0" fontId="3" fillId="34" borderId="86" xfId="0" applyFont="1" applyFill="1" applyBorder="1" applyAlignment="1">
      <alignment horizontal="left" wrapText="1"/>
    </xf>
    <xf numFmtId="0" fontId="0" fillId="0" borderId="87" xfId="0" applyBorder="1" applyAlignment="1">
      <alignment/>
    </xf>
    <xf numFmtId="0" fontId="0" fillId="0" borderId="88" xfId="0" applyBorder="1" applyAlignment="1">
      <alignment/>
    </xf>
    <xf numFmtId="0" fontId="13" fillId="0" borderId="52" xfId="0" applyFont="1" applyBorder="1" applyAlignment="1">
      <alignment horizontal="left" wrapText="1"/>
    </xf>
    <xf numFmtId="0" fontId="14" fillId="0" borderId="52" xfId="0" applyFont="1" applyBorder="1" applyAlignment="1">
      <alignment wrapText="1"/>
    </xf>
    <xf numFmtId="0" fontId="13" fillId="0" borderId="89" xfId="0" applyFont="1" applyBorder="1" applyAlignment="1">
      <alignment wrapText="1"/>
    </xf>
    <xf numFmtId="0" fontId="13" fillId="0" borderId="0" xfId="0" applyFont="1" applyBorder="1" applyAlignment="1">
      <alignment wrapText="1"/>
    </xf>
    <xf numFmtId="0" fontId="3" fillId="34" borderId="18" xfId="0" applyFont="1" applyFill="1" applyBorder="1" applyAlignment="1">
      <alignment horizontal="left" wrapText="1"/>
    </xf>
    <xf numFmtId="0" fontId="0" fillId="0" borderId="0" xfId="0" applyBorder="1" applyAlignment="1">
      <alignment/>
    </xf>
    <xf numFmtId="0" fontId="0" fillId="0" borderId="90" xfId="0" applyBorder="1" applyAlignment="1">
      <alignment/>
    </xf>
    <xf numFmtId="0" fontId="3" fillId="0" borderId="14" xfId="0" applyFont="1" applyBorder="1" applyAlignment="1">
      <alignment horizontal="center" wrapText="1"/>
    </xf>
    <xf numFmtId="0" fontId="13" fillId="0" borderId="0" xfId="0" applyFont="1" applyBorder="1" applyAlignment="1">
      <alignment horizontal="left" wrapText="1"/>
    </xf>
    <xf numFmtId="0" fontId="10" fillId="0" borderId="0" xfId="0" applyFont="1" applyAlignment="1">
      <alignment horizontal="center"/>
    </xf>
    <xf numFmtId="0" fontId="0" fillId="0" borderId="0" xfId="0" applyNumberFormat="1" applyAlignment="1">
      <alignment wrapText="1"/>
    </xf>
    <xf numFmtId="0" fontId="0" fillId="0" borderId="0" xfId="0" applyFont="1" applyAlignment="1">
      <alignment wrapText="1"/>
    </xf>
    <xf numFmtId="0" fontId="12" fillId="0" borderId="0" xfId="0" applyFont="1" applyBorder="1" applyAlignment="1">
      <alignment horizontal="left" wrapText="1"/>
    </xf>
    <xf numFmtId="0" fontId="10" fillId="33" borderId="25" xfId="0" applyFont="1" applyFill="1" applyBorder="1" applyAlignment="1">
      <alignment horizontal="center"/>
    </xf>
    <xf numFmtId="0" fontId="10" fillId="33" borderId="0" xfId="0" applyFont="1" applyFill="1" applyBorder="1" applyAlignment="1">
      <alignment horizontal="center"/>
    </xf>
    <xf numFmtId="0" fontId="10" fillId="34" borderId="22" xfId="0" applyFont="1" applyFill="1" applyBorder="1" applyAlignment="1">
      <alignment horizontal="center"/>
    </xf>
    <xf numFmtId="0" fontId="10" fillId="34" borderId="21" xfId="0" applyFont="1" applyFill="1" applyBorder="1" applyAlignment="1">
      <alignment horizontal="center"/>
    </xf>
    <xf numFmtId="0" fontId="10" fillId="34" borderId="16" xfId="0" applyFont="1" applyFill="1" applyBorder="1" applyAlignment="1">
      <alignment horizontal="center"/>
    </xf>
    <xf numFmtId="0" fontId="63" fillId="0" borderId="52"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AACAA"/>
      <rgbColor rgb="00FFFFFF"/>
      <rgbColor rgb="00FF0000"/>
      <rgbColor rgb="0000FF00"/>
      <rgbColor rgb="000000FF"/>
      <rgbColor rgb="00FFFF00"/>
      <rgbColor rgb="00FF00FF"/>
      <rgbColor rgb="0000FFFF"/>
      <rgbColor rgb="0034666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333333"/>
                </a:solidFill>
                <a:latin typeface="Arial"/>
                <a:ea typeface="Arial"/>
                <a:cs typeface="Arial"/>
              </a:rPr>
              <a:t>Cost Comparison Corrugated vs. Returnable</a:t>
            </a:r>
          </a:p>
        </c:rich>
      </c:tx>
      <c:layout>
        <c:manualLayout>
          <c:xMode val="factor"/>
          <c:yMode val="factor"/>
          <c:x val="0.00325"/>
          <c:y val="0"/>
        </c:manualLayout>
      </c:layout>
      <c:spPr>
        <a:noFill/>
        <a:ln>
          <a:noFill/>
        </a:ln>
      </c:spPr>
    </c:title>
    <c:plotArea>
      <c:layout>
        <c:manualLayout>
          <c:xMode val="edge"/>
          <c:yMode val="edge"/>
          <c:x val="0.05775"/>
          <c:y val="0.16975"/>
          <c:w val="0.578"/>
          <c:h val="0.71625"/>
        </c:manualLayout>
      </c:layout>
      <c:lineChart>
        <c:grouping val="standard"/>
        <c:varyColors val="0"/>
        <c:ser>
          <c:idx val="0"/>
          <c:order val="0"/>
          <c:tx>
            <c:v>Corrugated Cost per Use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'INACTIVE - chart data'!$C$16:$I$16</c:f>
              <c:numCache>
                <c:ptCount val="7"/>
                <c:pt idx="0">
                  <c:v>28.853754940711465</c:v>
                </c:pt>
                <c:pt idx="1">
                  <c:v>30.165289256198342</c:v>
                </c:pt>
                <c:pt idx="2">
                  <c:v>31.6017316017316</c:v>
                </c:pt>
                <c:pt idx="3">
                  <c:v>33.18181818181818</c:v>
                </c:pt>
                <c:pt idx="4">
                  <c:v>34.928229665071775</c:v>
                </c:pt>
                <c:pt idx="5">
                  <c:v>36.868686868686865</c:v>
                </c:pt>
                <c:pt idx="6">
                  <c:v>39.037433155080215</c:v>
                </c:pt>
              </c:numCache>
            </c:numRef>
          </c:cat>
          <c:val>
            <c:numRef>
              <c:f>'INACTIVE - chart data'!$C$13:$I$13</c:f>
              <c:numCache>
                <c:ptCount val="7"/>
                <c:pt idx="0">
                  <c:v>0.52</c:v>
                </c:pt>
                <c:pt idx="1">
                  <c:v>0.52</c:v>
                </c:pt>
                <c:pt idx="2">
                  <c:v>0.52</c:v>
                </c:pt>
                <c:pt idx="3">
                  <c:v>0.52</c:v>
                </c:pt>
                <c:pt idx="4">
                  <c:v>0.52</c:v>
                </c:pt>
                <c:pt idx="5">
                  <c:v>0.52</c:v>
                </c:pt>
                <c:pt idx="6">
                  <c:v>0.52</c:v>
                </c:pt>
              </c:numCache>
            </c:numRef>
          </c:val>
          <c:smooth val="0"/>
        </c:ser>
        <c:ser>
          <c:idx val="1"/>
          <c:order val="1"/>
          <c:tx>
            <c:v>Returnable Cost per Use</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'INACTIVE - chart data'!$C$16:$I$16</c:f>
              <c:numCache>
                <c:ptCount val="7"/>
                <c:pt idx="0">
                  <c:v>28.853754940711465</c:v>
                </c:pt>
                <c:pt idx="1">
                  <c:v>30.165289256198342</c:v>
                </c:pt>
                <c:pt idx="2">
                  <c:v>31.6017316017316</c:v>
                </c:pt>
                <c:pt idx="3">
                  <c:v>33.18181818181818</c:v>
                </c:pt>
                <c:pt idx="4">
                  <c:v>34.928229665071775</c:v>
                </c:pt>
                <c:pt idx="5">
                  <c:v>36.868686868686865</c:v>
                </c:pt>
                <c:pt idx="6">
                  <c:v>39.037433155080215</c:v>
                </c:pt>
              </c:numCache>
            </c:numRef>
          </c:cat>
          <c:val>
            <c:numRef>
              <c:f>'INACTIVE - chart data'!$C$15:$I$15</c:f>
              <c:numCache>
                <c:ptCount val="7"/>
                <c:pt idx="0">
                  <c:v>0</c:v>
                </c:pt>
                <c:pt idx="1">
                  <c:v>0</c:v>
                </c:pt>
                <c:pt idx="2">
                  <c:v>0</c:v>
                </c:pt>
                <c:pt idx="3">
                  <c:v>0</c:v>
                </c:pt>
                <c:pt idx="4">
                  <c:v>0</c:v>
                </c:pt>
                <c:pt idx="5">
                  <c:v>0</c:v>
                </c:pt>
                <c:pt idx="6">
                  <c:v>0</c:v>
                </c:pt>
              </c:numCache>
            </c:numRef>
          </c:val>
          <c:smooth val="0"/>
        </c:ser>
        <c:marker val="1"/>
        <c:axId val="35272741"/>
        <c:axId val="49019214"/>
      </c:lineChart>
      <c:catAx>
        <c:axId val="35272741"/>
        <c:scaling>
          <c:orientation val="minMax"/>
        </c:scaling>
        <c:axPos val="b"/>
        <c:title>
          <c:tx>
            <c:rich>
              <a:bodyPr vert="horz" rot="0" anchor="ctr"/>
              <a:lstStyle/>
              <a:p>
                <a:pPr algn="ctr">
                  <a:defRPr/>
                </a:pPr>
                <a:r>
                  <a:rPr lang="en-US" cap="none" sz="1200" b="1" i="0" u="none" baseline="0">
                    <a:solidFill>
                      <a:srgbClr val="333333"/>
                    </a:solidFill>
                    <a:latin typeface="Arial"/>
                    <a:ea typeface="Arial"/>
                    <a:cs typeface="Arial"/>
                  </a:rPr>
                  <a:t>Turns per Year for RPC</a:t>
                </a:r>
              </a:p>
            </c:rich>
          </c:tx>
          <c:layout>
            <c:manualLayout>
              <c:xMode val="factor"/>
              <c:yMode val="factor"/>
              <c:x val="-0.00175"/>
              <c:y val="0.0035"/>
            </c:manualLayout>
          </c:layout>
          <c:overlay val="0"/>
          <c:spPr>
            <a:noFill/>
            <a:ln>
              <a:noFill/>
            </a:ln>
          </c:spPr>
        </c:title>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9019214"/>
        <c:crosses val="autoZero"/>
        <c:auto val="1"/>
        <c:lblOffset val="100"/>
        <c:tickLblSkip val="1"/>
        <c:noMultiLvlLbl val="0"/>
      </c:catAx>
      <c:valAx>
        <c:axId val="49019214"/>
        <c:scaling>
          <c:orientation val="minMax"/>
        </c:scaling>
        <c:axPos val="l"/>
        <c:title>
          <c:tx>
            <c:rich>
              <a:bodyPr vert="horz" rot="-5400000" anchor="ctr"/>
              <a:lstStyle/>
              <a:p>
                <a:pPr algn="ctr">
                  <a:defRPr/>
                </a:pPr>
                <a:r>
                  <a:rPr lang="en-US" cap="none" sz="1200" b="1" i="0" u="none" baseline="0">
                    <a:solidFill>
                      <a:srgbClr val="333333"/>
                    </a:solidFill>
                    <a:latin typeface="Arial"/>
                    <a:ea typeface="Arial"/>
                    <a:cs typeface="Arial"/>
                  </a:rPr>
                  <a:t>Cost Per Use</a:t>
                </a:r>
              </a:p>
            </c:rich>
          </c:tx>
          <c:layout>
            <c:manualLayout>
              <c:xMode val="factor"/>
              <c:yMode val="factor"/>
              <c:x val="-0.00225"/>
              <c:y val="0"/>
            </c:manualLayout>
          </c:layout>
          <c:overlay val="0"/>
          <c:spPr>
            <a:noFill/>
            <a:ln>
              <a:noFill/>
            </a:ln>
          </c:spPr>
        </c:title>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5272741"/>
        <c:crossesAt val="1"/>
        <c:crossBetween val="between"/>
        <c:dispUnits/>
      </c:valAx>
      <c:spPr>
        <a:noFill/>
        <a:ln w="12700">
          <a:solidFill>
            <a:srgbClr val="808080"/>
          </a:solidFill>
        </a:ln>
      </c:spPr>
    </c:plotArea>
    <c:legend>
      <c:legendPos val="r"/>
      <c:layout>
        <c:manualLayout>
          <c:xMode val="edge"/>
          <c:yMode val="edge"/>
          <c:x val="0.67225"/>
          <c:y val="0.44075"/>
          <c:w val="0.303"/>
          <c:h val="0.24725"/>
        </c:manualLayout>
      </c:layout>
      <c:overlay val="0"/>
      <c:spPr>
        <a:solidFill>
          <a:srgbClr val="FFFFFF"/>
        </a:solidFill>
        <a:ln w="3175">
          <a:solidFill>
            <a:srgbClr val="333333"/>
          </a:solidFill>
        </a:ln>
      </c:spPr>
      <c:txPr>
        <a:bodyPr vert="horz" rot="0"/>
        <a:lstStyle/>
        <a:p>
          <a:pPr>
            <a:defRPr lang="en-US" cap="none" sz="1010"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200" b="0" i="0" u="none" baseline="0">
          <a:solidFill>
            <a:srgbClr val="333333"/>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xdr:row>
      <xdr:rowOff>123825</xdr:rowOff>
    </xdr:from>
    <xdr:to>
      <xdr:col>10</xdr:col>
      <xdr:colOff>514350</xdr:colOff>
      <xdr:row>24</xdr:row>
      <xdr:rowOff>28575</xdr:rowOff>
    </xdr:to>
    <xdr:graphicFrame>
      <xdr:nvGraphicFramePr>
        <xdr:cNvPr id="1" name="Chart 2"/>
        <xdr:cNvGraphicFramePr/>
      </xdr:nvGraphicFramePr>
      <xdr:xfrm>
        <a:off x="581025" y="285750"/>
        <a:ext cx="5838825" cy="3629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99"/>
  <sheetViews>
    <sheetView tabSelected="1" zoomScalePageLayoutView="0" workbookViewId="0" topLeftCell="A17">
      <selection activeCell="A38" sqref="A38:C45"/>
    </sheetView>
  </sheetViews>
  <sheetFormatPr defaultColWidth="8.8515625" defaultRowHeight="12.75"/>
  <cols>
    <col min="1" max="1" width="45.00390625" style="0" customWidth="1"/>
    <col min="2" max="2" width="22.00390625" style="0" customWidth="1"/>
    <col min="3" max="3" width="14.140625" style="0" customWidth="1"/>
    <col min="4" max="4" width="0.42578125" style="0" customWidth="1"/>
    <col min="5" max="5" width="21.28125" style="0" customWidth="1"/>
    <col min="6" max="6" width="17.140625" style="0" customWidth="1"/>
    <col min="7" max="7" width="0.42578125" style="0" customWidth="1"/>
    <col min="8" max="8" width="15.7109375" style="0" customWidth="1"/>
    <col min="9" max="9" width="12.28125" style="0" customWidth="1"/>
    <col min="10" max="12" width="8.8515625" style="0" customWidth="1"/>
    <col min="13" max="13" width="27.28125" style="0" customWidth="1"/>
  </cols>
  <sheetData>
    <row r="1" spans="1:6" ht="15.75">
      <c r="A1" s="225" t="s">
        <v>108</v>
      </c>
      <c r="B1" s="225"/>
      <c r="C1" s="225"/>
      <c r="D1" s="225"/>
      <c r="E1" s="225"/>
      <c r="F1" s="225"/>
    </row>
    <row r="2" spans="1:6" ht="93" customHeight="1">
      <c r="A2" s="226" t="s">
        <v>125</v>
      </c>
      <c r="B2" s="227"/>
      <c r="C2" s="227"/>
      <c r="D2" s="227"/>
      <c r="E2" s="227"/>
      <c r="F2" s="227"/>
    </row>
    <row r="4" ht="15.75">
      <c r="A4" s="30" t="s">
        <v>124</v>
      </c>
    </row>
    <row r="6" spans="1:2" ht="15.75">
      <c r="A6" s="30" t="s">
        <v>16</v>
      </c>
      <c r="B6" s="125" t="s">
        <v>105</v>
      </c>
    </row>
    <row r="7" ht="13.5" thickBot="1"/>
    <row r="8" spans="2:7" ht="15.75">
      <c r="B8" s="211" t="str">
        <f>CONCATENATE("Limited Use ",B6)</f>
        <v>Limited Use Box</v>
      </c>
      <c r="C8" s="212"/>
      <c r="D8" s="35"/>
      <c r="E8" s="231" t="s">
        <v>106</v>
      </c>
      <c r="F8" s="232"/>
      <c r="G8" s="233"/>
    </row>
    <row r="9" spans="1:7" ht="16.5" thickBot="1">
      <c r="A9" s="30" t="s">
        <v>26</v>
      </c>
      <c r="B9" s="229"/>
      <c r="C9" s="230"/>
      <c r="D9" s="36"/>
      <c r="E9" s="208"/>
      <c r="F9" s="209"/>
      <c r="G9" s="210"/>
    </row>
    <row r="10" spans="1:7" ht="48" customHeight="1" thickBot="1">
      <c r="A10" s="117" t="s">
        <v>62</v>
      </c>
      <c r="B10" s="33" t="str">
        <f>CONCATENATE("Limited-Use ",B6)</f>
        <v>Limited-Use Box</v>
      </c>
      <c r="C10" s="105">
        <v>0.5</v>
      </c>
      <c r="D10" s="36"/>
      <c r="E10" s="40" t="s">
        <v>107</v>
      </c>
      <c r="F10" s="121">
        <v>9</v>
      </c>
      <c r="G10" s="41"/>
    </row>
    <row r="11" spans="1:7" ht="51.75" thickBot="1">
      <c r="A11" s="119" t="s">
        <v>48</v>
      </c>
      <c r="B11" s="34" t="s">
        <v>11</v>
      </c>
      <c r="C11" s="106">
        <v>0.02</v>
      </c>
      <c r="D11" s="36"/>
      <c r="E11" s="37"/>
      <c r="F11" s="38"/>
      <c r="G11" s="41"/>
    </row>
    <row r="12" spans="2:7" ht="13.5" thickBot="1">
      <c r="B12" s="48" t="s">
        <v>4</v>
      </c>
      <c r="C12" s="107">
        <f>SUM(C10:C11)</f>
        <v>0.52</v>
      </c>
      <c r="D12" s="36"/>
      <c r="E12" s="37"/>
      <c r="F12" s="180"/>
      <c r="G12" s="42"/>
    </row>
    <row r="13" spans="1:7" ht="36" customHeight="1" thickBot="1">
      <c r="A13" s="117" t="s">
        <v>114</v>
      </c>
      <c r="B13" s="141" t="str">
        <f>CONCATENATE("Weight of Limited-Use ",B6," (in pounds)")</f>
        <v>Weight of Limited-Use Box (in pounds)</v>
      </c>
      <c r="C13" s="151">
        <f>IF(B6="Carton",2,IF(B6="Pallet",40,2))</f>
        <v>2</v>
      </c>
      <c r="D13" s="152"/>
      <c r="E13" s="63"/>
      <c r="F13" s="39"/>
      <c r="G13" s="41"/>
    </row>
    <row r="14" spans="2:7" ht="12.75">
      <c r="B14" s="27"/>
      <c r="C14" s="4"/>
      <c r="D14" s="4"/>
      <c r="E14" s="4"/>
      <c r="F14" s="5"/>
      <c r="G14" s="4"/>
    </row>
    <row r="15" spans="1:6" ht="15.75">
      <c r="A15" s="30" t="s">
        <v>15</v>
      </c>
      <c r="C15" s="1"/>
      <c r="D15" s="1"/>
      <c r="E15" s="4"/>
      <c r="F15" s="25"/>
    </row>
    <row r="16" spans="1:11" ht="57" customHeight="1" thickBot="1">
      <c r="A16" s="219" t="s">
        <v>113</v>
      </c>
      <c r="B16" s="219"/>
      <c r="C16" s="219"/>
      <c r="D16" s="126"/>
      <c r="E16" s="126"/>
      <c r="F16" s="126"/>
      <c r="G16" s="7"/>
      <c r="H16" s="7"/>
      <c r="I16" s="7"/>
      <c r="J16" s="7"/>
      <c r="K16" s="7"/>
    </row>
    <row r="17" spans="1:11" ht="3" customHeight="1" thickBot="1">
      <c r="A17" s="67"/>
      <c r="B17" s="32"/>
      <c r="C17" s="32"/>
      <c r="D17" s="32"/>
      <c r="E17" s="46"/>
      <c r="F17" s="56"/>
      <c r="G17" s="55"/>
      <c r="H17" s="7"/>
      <c r="I17" s="7"/>
      <c r="J17" s="7"/>
      <c r="K17" s="7"/>
    </row>
    <row r="18" spans="1:11" ht="13.5" customHeight="1" thickBot="1">
      <c r="A18" s="216"/>
      <c r="B18" s="216"/>
      <c r="C18" s="216"/>
      <c r="D18" s="114"/>
      <c r="E18" s="54" t="s">
        <v>97</v>
      </c>
      <c r="F18" s="100">
        <v>3</v>
      </c>
      <c r="G18" s="41"/>
      <c r="H18" s="7"/>
      <c r="I18" s="7"/>
      <c r="J18" s="7"/>
      <c r="K18" s="7"/>
    </row>
    <row r="19" spans="1:11" ht="13.5" thickBot="1">
      <c r="A19" s="7"/>
      <c r="B19" s="22"/>
      <c r="C19" s="8"/>
      <c r="D19" s="8"/>
      <c r="E19" s="40" t="s">
        <v>109</v>
      </c>
      <c r="F19" s="101">
        <v>1</v>
      </c>
      <c r="G19" s="41"/>
      <c r="H19" s="7"/>
      <c r="I19" s="7"/>
      <c r="J19" s="29"/>
      <c r="K19" s="7"/>
    </row>
    <row r="20" spans="1:11" ht="27" customHeight="1" thickBot="1">
      <c r="A20" s="216" t="s">
        <v>23</v>
      </c>
      <c r="B20" s="216"/>
      <c r="C20" s="216"/>
      <c r="D20" s="114"/>
      <c r="E20" s="40" t="s">
        <v>24</v>
      </c>
      <c r="F20" s="101">
        <v>3</v>
      </c>
      <c r="G20" s="41"/>
      <c r="H20" s="7"/>
      <c r="I20" s="7"/>
      <c r="J20" s="7"/>
      <c r="K20" s="7"/>
    </row>
    <row r="21" spans="1:11" ht="26.25" thickBot="1">
      <c r="A21" s="7"/>
      <c r="B21" s="7"/>
      <c r="C21" s="8"/>
      <c r="D21" s="8"/>
      <c r="E21" s="40" t="s">
        <v>110</v>
      </c>
      <c r="F21" s="101">
        <v>1</v>
      </c>
      <c r="G21" s="41"/>
      <c r="H21" s="7"/>
      <c r="I21" s="7"/>
      <c r="J21" s="7"/>
      <c r="K21" s="7"/>
    </row>
    <row r="22" spans="1:11" ht="41.25" customHeight="1" thickBot="1">
      <c r="A22" s="216" t="s">
        <v>38</v>
      </c>
      <c r="B22" s="216"/>
      <c r="C22" s="216"/>
      <c r="D22" s="114"/>
      <c r="E22" s="40" t="s">
        <v>37</v>
      </c>
      <c r="F22" s="101">
        <v>2</v>
      </c>
      <c r="G22" s="41"/>
      <c r="H22" s="7"/>
      <c r="I22" s="7"/>
      <c r="J22" s="7"/>
      <c r="K22" s="7"/>
    </row>
    <row r="23" spans="1:11" ht="26.25" thickBot="1">
      <c r="A23" s="7"/>
      <c r="B23" s="7"/>
      <c r="C23" s="8"/>
      <c r="D23" s="8"/>
      <c r="E23" s="40" t="s">
        <v>14</v>
      </c>
      <c r="F23" s="101">
        <v>1</v>
      </c>
      <c r="G23" s="41"/>
      <c r="H23" s="7"/>
      <c r="I23" s="7"/>
      <c r="J23" s="7"/>
      <c r="K23" s="7"/>
    </row>
    <row r="24" spans="1:11" ht="12.75">
      <c r="A24" s="228"/>
      <c r="B24" s="228"/>
      <c r="C24" s="228"/>
      <c r="D24" s="8"/>
      <c r="E24" s="61" t="s">
        <v>55</v>
      </c>
      <c r="F24" s="57">
        <f>SUM(F18:F23)</f>
        <v>11</v>
      </c>
      <c r="G24" s="62"/>
      <c r="H24" s="7"/>
      <c r="I24" s="7"/>
      <c r="J24" s="7"/>
      <c r="K24" s="7"/>
    </row>
    <row r="25" spans="1:11" ht="43.5" customHeight="1" thickBot="1">
      <c r="A25" s="216" t="s">
        <v>64</v>
      </c>
      <c r="B25" s="216"/>
      <c r="C25" s="216"/>
      <c r="D25" s="114"/>
      <c r="E25" s="60" t="s">
        <v>1</v>
      </c>
      <c r="F25" s="58">
        <f>365/F24</f>
        <v>33.18181818181818</v>
      </c>
      <c r="G25" s="42"/>
      <c r="H25" s="7"/>
      <c r="I25" s="7"/>
      <c r="J25" s="7"/>
      <c r="K25" s="7"/>
    </row>
    <row r="27" ht="15.75" customHeight="1" thickBot="1">
      <c r="A27" s="30" t="s">
        <v>5</v>
      </c>
    </row>
    <row r="28" spans="1:7" ht="2.25" customHeight="1" thickBot="1">
      <c r="A28" s="30"/>
      <c r="B28" s="49"/>
      <c r="C28" s="50"/>
      <c r="D28" s="51"/>
      <c r="E28" s="52"/>
      <c r="F28" s="47"/>
      <c r="G28" s="53"/>
    </row>
    <row r="29" spans="1:7" ht="90" thickBot="1">
      <c r="A29" s="117" t="s">
        <v>111</v>
      </c>
      <c r="B29" s="191" t="s">
        <v>49</v>
      </c>
      <c r="C29" s="192">
        <v>70000</v>
      </c>
      <c r="D29" s="189"/>
      <c r="E29" s="187" t="s">
        <v>50</v>
      </c>
      <c r="F29" s="188">
        <f>C29</f>
        <v>70000</v>
      </c>
      <c r="G29" s="41"/>
    </row>
    <row r="30" spans="1:6" ht="57" customHeight="1" thickBot="1">
      <c r="A30" s="186" t="s">
        <v>112</v>
      </c>
      <c r="B30" s="141" t="s">
        <v>36</v>
      </c>
      <c r="C30" s="193">
        <v>2</v>
      </c>
      <c r="D30" s="190"/>
      <c r="E30" s="82"/>
      <c r="F30" s="5"/>
    </row>
    <row r="31" spans="3:8" ht="12.75">
      <c r="C31" s="26"/>
      <c r="D31" s="26"/>
      <c r="E31" s="26"/>
      <c r="F31" s="26"/>
      <c r="G31" s="26"/>
      <c r="H31" s="26"/>
    </row>
    <row r="32" spans="1:6" ht="16.5" thickBot="1">
      <c r="A32" s="30" t="s">
        <v>39</v>
      </c>
      <c r="F32" s="24"/>
    </row>
    <row r="33" spans="1:11" ht="33" customHeight="1">
      <c r="A33" s="216" t="s">
        <v>51</v>
      </c>
      <c r="B33" s="216"/>
      <c r="C33" s="216"/>
      <c r="D33" s="115"/>
      <c r="E33" s="172" t="s">
        <v>9</v>
      </c>
      <c r="F33" s="194">
        <v>5</v>
      </c>
      <c r="G33" s="62"/>
      <c r="H33" s="7"/>
      <c r="J33" s="7"/>
      <c r="K33" s="7"/>
    </row>
    <row r="34" spans="1:11" ht="42" customHeight="1">
      <c r="A34" s="216" t="s">
        <v>126</v>
      </c>
      <c r="B34" s="216"/>
      <c r="C34" s="216"/>
      <c r="D34" s="115"/>
      <c r="E34" s="59" t="s">
        <v>18</v>
      </c>
      <c r="F34" s="195">
        <f>F29/F25</f>
        <v>2109.5890410958905</v>
      </c>
      <c r="G34" s="62"/>
      <c r="H34" s="142"/>
      <c r="J34" s="7"/>
      <c r="K34" s="7"/>
    </row>
    <row r="35" spans="1:11" ht="29.25" customHeight="1">
      <c r="A35" s="7"/>
      <c r="B35" s="7"/>
      <c r="C35" s="7"/>
      <c r="E35" s="59" t="s">
        <v>40</v>
      </c>
      <c r="F35" s="196">
        <f>F34*F10</f>
        <v>18986.301369863013</v>
      </c>
      <c r="G35" s="62"/>
      <c r="H35" s="142"/>
      <c r="J35" s="7"/>
      <c r="K35" s="7"/>
    </row>
    <row r="36" spans="1:11" ht="13.5" thickBot="1">
      <c r="A36" s="7"/>
      <c r="B36" s="7"/>
      <c r="C36" s="7"/>
      <c r="E36" s="173" t="s">
        <v>41</v>
      </c>
      <c r="F36" s="197">
        <f>F35/F33</f>
        <v>3797.2602739726026</v>
      </c>
      <c r="G36" s="62"/>
      <c r="H36" s="142"/>
      <c r="J36" s="7"/>
      <c r="K36" s="7"/>
    </row>
    <row r="38" ht="16.5" thickBot="1">
      <c r="A38" s="30" t="s">
        <v>57</v>
      </c>
    </row>
    <row r="39" spans="1:7" ht="13.5" thickBot="1">
      <c r="A39" s="120" t="s">
        <v>98</v>
      </c>
      <c r="B39" s="124"/>
      <c r="C39" s="93"/>
      <c r="E39" s="64"/>
      <c r="F39" s="44"/>
      <c r="G39" s="44"/>
    </row>
    <row r="40" spans="1:11" ht="39" thickBot="1">
      <c r="A40" s="120" t="s">
        <v>129</v>
      </c>
      <c r="B40" s="33" t="s">
        <v>63</v>
      </c>
      <c r="C40" s="116">
        <v>250</v>
      </c>
      <c r="D40" s="115"/>
      <c r="E40" s="40" t="s">
        <v>63</v>
      </c>
      <c r="F40" s="198">
        <v>250</v>
      </c>
      <c r="G40" s="41"/>
      <c r="H40" s="7"/>
      <c r="I40" s="7"/>
      <c r="J40" s="7"/>
      <c r="K40" s="7"/>
    </row>
    <row r="41" spans="1:11" s="150" customFormat="1" ht="25.5">
      <c r="A41" s="120" t="s">
        <v>130</v>
      </c>
      <c r="B41" s="33" t="s">
        <v>6</v>
      </c>
      <c r="C41" s="181">
        <v>0.25</v>
      </c>
      <c r="E41" s="40" t="s">
        <v>6</v>
      </c>
      <c r="F41" s="199">
        <v>0.25</v>
      </c>
      <c r="G41" s="175"/>
      <c r="H41" s="204"/>
      <c r="I41" s="149"/>
      <c r="J41" s="149"/>
      <c r="K41" s="149"/>
    </row>
    <row r="42" spans="1:11" s="150" customFormat="1" ht="25.5">
      <c r="A42" s="120" t="s">
        <v>127</v>
      </c>
      <c r="B42" s="33" t="s">
        <v>56</v>
      </c>
      <c r="C42" s="182">
        <v>600</v>
      </c>
      <c r="E42" s="40" t="s">
        <v>56</v>
      </c>
      <c r="F42" s="200">
        <v>600</v>
      </c>
      <c r="G42" s="175"/>
      <c r="H42" s="204"/>
      <c r="I42" s="149"/>
      <c r="J42" s="149"/>
      <c r="K42" s="149"/>
    </row>
    <row r="43" spans="1:11" s="150" customFormat="1" ht="26.25" thickBot="1">
      <c r="A43" s="120" t="s">
        <v>131</v>
      </c>
      <c r="B43" s="33" t="s">
        <v>7</v>
      </c>
      <c r="C43" s="183">
        <f>IF((C40*C41&gt;C42),(C40*C41),C42)</f>
        <v>600</v>
      </c>
      <c r="E43" s="40" t="s">
        <v>7</v>
      </c>
      <c r="F43" s="201">
        <f>IF((F40*F41&gt;F42),(F40*F41),F42)</f>
        <v>600</v>
      </c>
      <c r="G43" s="175"/>
      <c r="H43" s="204"/>
      <c r="I43" s="149"/>
      <c r="J43" s="149"/>
      <c r="K43" s="149"/>
    </row>
    <row r="44" spans="1:11" s="150" customFormat="1" ht="28.5" customHeight="1" thickBot="1">
      <c r="A44" s="234" t="s">
        <v>132</v>
      </c>
      <c r="B44" s="33" t="s">
        <v>102</v>
      </c>
      <c r="C44" s="184">
        <f>IF(B6="Carton",4000,500)</f>
        <v>500</v>
      </c>
      <c r="D44" s="185"/>
      <c r="E44" s="40" t="s">
        <v>99</v>
      </c>
      <c r="F44" s="202">
        <f>IF(B6="Carton",4000,500)</f>
        <v>500</v>
      </c>
      <c r="G44" s="175"/>
      <c r="H44" s="204"/>
      <c r="I44" s="149"/>
      <c r="J44" s="149"/>
      <c r="K44" s="149"/>
    </row>
    <row r="45" spans="1:11" s="150" customFormat="1" ht="28.5" customHeight="1" thickBot="1">
      <c r="A45" s="28"/>
      <c r="B45" s="178" t="s">
        <v>100</v>
      </c>
      <c r="C45" s="174">
        <f>C43/C44</f>
        <v>1.2</v>
      </c>
      <c r="E45" s="179" t="s">
        <v>101</v>
      </c>
      <c r="F45" s="203">
        <f>F43/F44</f>
        <v>1.2</v>
      </c>
      <c r="G45" s="175"/>
      <c r="H45" s="149"/>
      <c r="I45" s="149"/>
      <c r="J45" s="149"/>
      <c r="K45" s="149"/>
    </row>
    <row r="46" spans="1:11" ht="51.75" hidden="1" thickBot="1">
      <c r="A46" s="217" t="s">
        <v>25</v>
      </c>
      <c r="B46" s="218"/>
      <c r="C46" s="99" t="s">
        <v>68</v>
      </c>
      <c r="D46" s="118"/>
      <c r="E46" s="73" t="s">
        <v>29</v>
      </c>
      <c r="F46" s="108">
        <v>0</v>
      </c>
      <c r="G46" s="75"/>
      <c r="H46" s="7"/>
      <c r="I46" s="7"/>
      <c r="J46" s="7"/>
      <c r="K46" s="7"/>
    </row>
    <row r="47" spans="1:11" ht="2.25" customHeight="1">
      <c r="A47" s="7"/>
      <c r="B47" s="7"/>
      <c r="C47" s="7"/>
      <c r="E47" s="37"/>
      <c r="F47" s="110"/>
      <c r="G47" s="75"/>
      <c r="H47" s="7"/>
      <c r="I47" s="7"/>
      <c r="J47" s="7"/>
      <c r="K47" s="7"/>
    </row>
    <row r="48" spans="1:11" ht="39" hidden="1" thickBot="1">
      <c r="A48" s="7"/>
      <c r="B48" s="7"/>
      <c r="C48" s="7"/>
      <c r="E48" s="74" t="s">
        <v>19</v>
      </c>
      <c r="F48" s="111">
        <f>IF(C46="Yes",F46,F45)</f>
        <v>1.2</v>
      </c>
      <c r="G48" s="76"/>
      <c r="H48" s="7"/>
      <c r="I48" s="7"/>
      <c r="J48" s="7"/>
      <c r="K48" s="7"/>
    </row>
    <row r="49" spans="1:11" ht="12.75">
      <c r="A49" s="7"/>
      <c r="B49" s="7"/>
      <c r="C49" s="7"/>
      <c r="E49" s="71"/>
      <c r="F49" s="72"/>
      <c r="H49" s="7"/>
      <c r="I49" s="7"/>
      <c r="J49" s="7"/>
      <c r="K49" s="7"/>
    </row>
    <row r="50" spans="1:11" ht="13.5" thickBot="1">
      <c r="A50" s="7"/>
      <c r="B50" s="7"/>
      <c r="C50" s="7"/>
      <c r="E50" s="4"/>
      <c r="F50" s="79" t="s">
        <v>20</v>
      </c>
      <c r="H50" s="7"/>
      <c r="I50" s="7"/>
      <c r="J50" s="7"/>
      <c r="K50" s="7"/>
    </row>
    <row r="51" spans="1:11" ht="3" customHeight="1" thickBot="1">
      <c r="A51" s="7"/>
      <c r="B51" s="7"/>
      <c r="C51" s="7"/>
      <c r="E51" s="64"/>
      <c r="F51" s="43"/>
      <c r="G51" s="44"/>
      <c r="H51" s="7"/>
      <c r="I51" s="7"/>
      <c r="J51" s="7"/>
      <c r="K51" s="7"/>
    </row>
    <row r="52" spans="1:7" ht="48" customHeight="1" thickBot="1">
      <c r="A52" s="120" t="s">
        <v>58</v>
      </c>
      <c r="D52" s="115"/>
      <c r="E52" s="102">
        <v>0.03</v>
      </c>
      <c r="F52" s="111">
        <f>F35*E52/F29</f>
        <v>0.008136986301369862</v>
      </c>
      <c r="G52" s="76"/>
    </row>
    <row r="53" spans="1:7" ht="2.25" customHeight="1" thickBot="1">
      <c r="A53" s="77"/>
      <c r="B53" s="78"/>
      <c r="C53" s="78"/>
      <c r="E53" s="68"/>
      <c r="F53" s="69"/>
      <c r="G53" s="70"/>
    </row>
    <row r="54" spans="1:8" ht="7.5" customHeight="1">
      <c r="A54" s="77"/>
      <c r="B54" s="78"/>
      <c r="C54" s="78"/>
      <c r="E54" s="78"/>
      <c r="F54" s="78"/>
      <c r="G54" s="78"/>
      <c r="H54" s="78"/>
    </row>
    <row r="55" spans="5:6" ht="13.5" thickBot="1">
      <c r="E55" s="4"/>
      <c r="F55" s="79" t="s">
        <v>20</v>
      </c>
    </row>
    <row r="56" spans="2:7" ht="3" customHeight="1" thickBot="1">
      <c r="B56" s="136"/>
      <c r="C56" s="93"/>
      <c r="E56" s="66"/>
      <c r="F56" s="43"/>
      <c r="G56" s="44"/>
    </row>
    <row r="57" spans="1:17" ht="76.5" customHeight="1" thickBot="1">
      <c r="A57" s="120" t="s">
        <v>128</v>
      </c>
      <c r="B57" s="135" t="s">
        <v>2</v>
      </c>
      <c r="C57" s="113">
        <v>0.25</v>
      </c>
      <c r="D57" s="115"/>
      <c r="E57" s="81" t="s">
        <v>2</v>
      </c>
      <c r="F57" s="113">
        <v>0.25</v>
      </c>
      <c r="G57" s="41"/>
      <c r="H57" s="205"/>
      <c r="I57" s="206"/>
      <c r="J57" s="206"/>
      <c r="K57" s="207"/>
      <c r="L57" s="207"/>
      <c r="M57" s="205"/>
      <c r="N57" s="206"/>
      <c r="O57" s="206"/>
      <c r="P57" s="207"/>
      <c r="Q57" s="207"/>
    </row>
    <row r="58" spans="1:7" ht="3" customHeight="1" thickBot="1">
      <c r="A58" s="80" t="s">
        <v>0</v>
      </c>
      <c r="B58" s="68"/>
      <c r="C58" s="69"/>
      <c r="E58" s="68"/>
      <c r="F58" s="69"/>
      <c r="G58" s="70"/>
    </row>
    <row r="60" spans="1:6" ht="15.75">
      <c r="A60" s="31" t="s">
        <v>42</v>
      </c>
      <c r="B60" s="7"/>
      <c r="C60" s="7"/>
      <c r="D60" s="7"/>
      <c r="E60" s="7"/>
      <c r="F60" s="7"/>
    </row>
    <row r="61" spans="1:7" ht="30.75" customHeight="1">
      <c r="A61" s="224" t="s">
        <v>115</v>
      </c>
      <c r="B61" s="224"/>
      <c r="C61" s="224"/>
      <c r="D61" s="224"/>
      <c r="E61" s="224"/>
      <c r="F61" s="224"/>
      <c r="G61" s="28"/>
    </row>
    <row r="62" spans="1:11" s="150" customFormat="1" ht="26.25" thickBot="1">
      <c r="A62" s="147" t="s">
        <v>61</v>
      </c>
      <c r="B62" s="148" t="str">
        <f>CONCATENATE("User-Defined Value per ",B6)</f>
        <v>User-Defined Value per Box</v>
      </c>
      <c r="C62" s="148" t="str">
        <f>CONCATENATE("Default cost per ",B6)</f>
        <v>Default cost per Box</v>
      </c>
      <c r="D62" s="148"/>
      <c r="E62" s="148" t="s">
        <v>10</v>
      </c>
      <c r="F62" s="148" t="s">
        <v>20</v>
      </c>
      <c r="G62" s="149"/>
      <c r="H62" s="149"/>
      <c r="I62" s="149"/>
      <c r="J62" s="149"/>
      <c r="K62" s="149"/>
    </row>
    <row r="63" spans="1:11" ht="25.5">
      <c r="A63" s="144" t="s">
        <v>116</v>
      </c>
      <c r="B63" s="127"/>
      <c r="C63" s="129">
        <v>0.2</v>
      </c>
      <c r="D63" s="103"/>
      <c r="E63" s="144" t="s">
        <v>65</v>
      </c>
      <c r="F63" s="132">
        <v>0</v>
      </c>
      <c r="G63" s="84"/>
      <c r="H63" s="7"/>
      <c r="I63" s="7"/>
      <c r="J63" s="7"/>
      <c r="K63" s="7"/>
    </row>
    <row r="64" spans="1:11" ht="25.5">
      <c r="A64" s="145" t="s">
        <v>13</v>
      </c>
      <c r="B64" s="128" t="s">
        <v>12</v>
      </c>
      <c r="C64" s="130">
        <f>80*C13/2000</f>
        <v>0.08</v>
      </c>
      <c r="D64" s="104"/>
      <c r="E64" s="146"/>
      <c r="F64" s="133">
        <v>0</v>
      </c>
      <c r="G64" s="45"/>
      <c r="H64" s="7"/>
      <c r="I64" s="7"/>
      <c r="J64" s="7"/>
      <c r="K64" s="7"/>
    </row>
    <row r="65" spans="1:11" ht="12.75">
      <c r="A65" s="143" t="s">
        <v>53</v>
      </c>
      <c r="B65" s="128"/>
      <c r="C65" s="130">
        <v>0</v>
      </c>
      <c r="D65" s="104"/>
      <c r="E65" s="146"/>
      <c r="F65" s="133"/>
      <c r="G65" s="45"/>
      <c r="H65" s="7"/>
      <c r="I65" s="7"/>
      <c r="J65" s="7"/>
      <c r="K65" s="7"/>
    </row>
    <row r="66" spans="1:11" ht="12.75">
      <c r="A66" s="143" t="s">
        <v>17</v>
      </c>
      <c r="B66" s="128"/>
      <c r="C66" s="130">
        <v>0</v>
      </c>
      <c r="D66" s="104"/>
      <c r="E66" s="146"/>
      <c r="F66" s="133"/>
      <c r="G66" s="45"/>
      <c r="H66" s="7"/>
      <c r="I66" s="7"/>
      <c r="J66" s="7"/>
      <c r="K66" s="7"/>
    </row>
    <row r="67" spans="1:11" ht="25.5">
      <c r="A67" s="145" t="s">
        <v>117</v>
      </c>
      <c r="B67" s="128"/>
      <c r="C67" s="130">
        <v>0</v>
      </c>
      <c r="D67" s="104"/>
      <c r="E67" s="146"/>
      <c r="F67" s="133"/>
      <c r="G67" s="45"/>
      <c r="H67" s="7"/>
      <c r="I67" s="7"/>
      <c r="J67" s="7"/>
      <c r="K67" s="7"/>
    </row>
    <row r="68" spans="1:11" ht="12.75">
      <c r="A68" s="143"/>
      <c r="B68" s="128"/>
      <c r="C68" s="130"/>
      <c r="D68" s="104"/>
      <c r="E68" s="146"/>
      <c r="F68" s="133"/>
      <c r="G68" s="45"/>
      <c r="H68" s="7"/>
      <c r="I68" s="7"/>
      <c r="J68" s="7"/>
      <c r="K68" s="7"/>
    </row>
    <row r="69" spans="1:11" ht="13.5" thickBot="1">
      <c r="A69" s="143"/>
      <c r="B69" s="128"/>
      <c r="C69" s="131"/>
      <c r="D69" s="104"/>
      <c r="E69" s="146"/>
      <c r="F69" s="134"/>
      <c r="G69" s="45"/>
      <c r="H69" s="7"/>
      <c r="I69" s="7"/>
      <c r="J69" s="7"/>
      <c r="K69" s="7"/>
    </row>
    <row r="70" spans="1:11" ht="13.5" thickBot="1">
      <c r="A70" s="23"/>
      <c r="B70" s="24" t="s">
        <v>52</v>
      </c>
      <c r="C70" s="112">
        <f>SUM(C63:C69)</f>
        <v>0.28</v>
      </c>
      <c r="D70" s="86"/>
      <c r="E70" s="83"/>
      <c r="F70" s="111">
        <f>SUM(F63:F69)</f>
        <v>0</v>
      </c>
      <c r="G70" s="85"/>
      <c r="H70" s="7"/>
      <c r="I70" s="7"/>
      <c r="J70" s="7"/>
      <c r="K70" s="7"/>
    </row>
    <row r="71" spans="5:6" ht="12.75">
      <c r="E71" s="82"/>
      <c r="F71" s="5"/>
    </row>
    <row r="72" spans="1:7" ht="27.75" customHeight="1" thickBot="1">
      <c r="A72" s="30" t="s">
        <v>8</v>
      </c>
      <c r="B72" s="223" t="s">
        <v>72</v>
      </c>
      <c r="C72" s="223"/>
      <c r="D72" s="223"/>
      <c r="E72" s="223"/>
      <c r="F72" s="223"/>
      <c r="G72" s="223"/>
    </row>
    <row r="73" spans="1:7" ht="3" customHeight="1" thickBot="1">
      <c r="A73" s="30"/>
      <c r="B73" s="90"/>
      <c r="C73" s="93"/>
      <c r="D73" s="94"/>
      <c r="E73" s="64"/>
      <c r="F73" s="43"/>
      <c r="G73" s="44"/>
    </row>
    <row r="74" spans="2:7" ht="26.25" thickBot="1">
      <c r="B74" s="138" t="str">
        <f>CONCATENATE(B6," Cost (factors in all costs above)")</f>
        <v>Box Cost (factors in all costs above)</v>
      </c>
      <c r="C74" s="139">
        <f>(C12+SUM(C64:C69))/C30+C63/MEDIAN(1,C30)+IF(C30&gt;1,C45+C57,0)</f>
        <v>1.8833333333333333</v>
      </c>
      <c r="D74" s="95"/>
      <c r="E74" s="87" t="s">
        <v>30</v>
      </c>
      <c r="F74" s="111">
        <f>F57+F48+F70+F52</f>
        <v>1.4581369863013698</v>
      </c>
      <c r="G74" s="41"/>
    </row>
    <row r="75" spans="2:7" ht="13.5" thickBot="1">
      <c r="B75" s="137" t="s">
        <v>54</v>
      </c>
      <c r="C75" s="140">
        <f>C74*C29</f>
        <v>131833.33333333334</v>
      </c>
      <c r="D75" s="96"/>
      <c r="E75" s="89" t="str">
        <f>B75</f>
        <v>Annual cost</v>
      </c>
      <c r="F75" s="109">
        <f>F74*F29</f>
        <v>102069.58904109588</v>
      </c>
      <c r="G75" s="76"/>
    </row>
    <row r="76" spans="2:8" ht="3" customHeight="1" thickBot="1">
      <c r="B76" s="91"/>
      <c r="C76" s="92"/>
      <c r="D76" s="97"/>
      <c r="E76" s="88"/>
      <c r="F76" s="69"/>
      <c r="G76" s="70"/>
      <c r="H76" s="15"/>
    </row>
    <row r="77" spans="2:6" ht="12.75">
      <c r="B77" s="15"/>
      <c r="C77" s="15"/>
      <c r="D77" s="15"/>
      <c r="E77" s="15"/>
      <c r="F77" s="15"/>
    </row>
    <row r="78" spans="1:6" ht="16.5" thickBot="1">
      <c r="A78" s="30" t="s">
        <v>27</v>
      </c>
      <c r="C78" s="5"/>
      <c r="D78" s="5"/>
      <c r="F78" s="5"/>
    </row>
    <row r="79" spans="1:7" ht="3" customHeight="1">
      <c r="A79" s="30"/>
      <c r="C79" s="64"/>
      <c r="D79" s="65"/>
      <c r="E79" s="65"/>
      <c r="F79" s="43"/>
      <c r="G79" s="44"/>
    </row>
    <row r="80" spans="1:7" ht="12.75" customHeight="1">
      <c r="A80" s="30"/>
      <c r="C80" s="37" t="s">
        <v>104</v>
      </c>
      <c r="D80" s="176"/>
      <c r="E80" s="176"/>
      <c r="F80" s="177">
        <f>F$83/F35</f>
        <v>1.567643097643098</v>
      </c>
      <c r="G80" s="41"/>
    </row>
    <row r="81" spans="1:7" ht="12.75" customHeight="1" thickBot="1">
      <c r="A81" s="30"/>
      <c r="C81" s="37" t="s">
        <v>103</v>
      </c>
      <c r="D81" s="176"/>
      <c r="E81" s="176"/>
      <c r="F81" s="177">
        <f>F$83/F36</f>
        <v>7.838215488215489</v>
      </c>
      <c r="G81" s="41"/>
    </row>
    <row r="82" spans="3:7" ht="13.5" customHeight="1" thickBot="1">
      <c r="C82" s="220" t="s">
        <v>73</v>
      </c>
      <c r="D82" s="221"/>
      <c r="E82" s="222"/>
      <c r="F82" s="111">
        <f>C74-F74</f>
        <v>0.4251963470319635</v>
      </c>
      <c r="G82" s="41"/>
    </row>
    <row r="83" spans="3:8" ht="13.5" thickBot="1">
      <c r="C83" s="213" t="s">
        <v>43</v>
      </c>
      <c r="D83" s="214"/>
      <c r="E83" s="215"/>
      <c r="F83" s="111">
        <f>F82*F29</f>
        <v>29763.744292237447</v>
      </c>
      <c r="G83" s="76"/>
      <c r="H83" s="123"/>
    </row>
    <row r="84" spans="3:8" ht="3" customHeight="1" thickBot="1">
      <c r="C84" s="98"/>
      <c r="D84" s="88"/>
      <c r="E84" s="88"/>
      <c r="F84" s="69"/>
      <c r="G84" s="70"/>
      <c r="H84" s="122">
        <f>C75-F75</f>
        <v>29763.74429223746</v>
      </c>
    </row>
    <row r="88" spans="1:6" ht="26.25">
      <c r="A88" s="30"/>
      <c r="B88" s="168" t="s">
        <v>95</v>
      </c>
      <c r="C88" s="168" t="s">
        <v>118</v>
      </c>
      <c r="D88" s="168"/>
      <c r="E88" s="168" t="s">
        <v>93</v>
      </c>
      <c r="F88" s="168" t="s">
        <v>119</v>
      </c>
    </row>
    <row r="89" spans="1:6" ht="15.75">
      <c r="A89" s="30" t="s">
        <v>94</v>
      </c>
      <c r="B89" s="169">
        <f>(C29*C13)/2000/C30</f>
        <v>35</v>
      </c>
      <c r="C89" s="169">
        <f>IF(B6="Carton",'Equivalence Factors'!C9,'Equivalence Factors'!C16)*Input!$B89</f>
        <v>45.5</v>
      </c>
      <c r="D89" s="170"/>
      <c r="E89" s="169">
        <f>IF(B6="Carton",'Equivalence Factors'!B9,'Equivalence Factors'!B16)*Input!$B89</f>
        <v>175</v>
      </c>
      <c r="F89" s="171">
        <f>C89/3.6</f>
        <v>12.63888888888889</v>
      </c>
    </row>
    <row r="90" spans="1:6" ht="12.75">
      <c r="A90" s="2"/>
      <c r="B90" s="19"/>
      <c r="C90" s="19"/>
      <c r="E90" s="19"/>
      <c r="F90" s="166"/>
    </row>
    <row r="91" spans="1:2" ht="12.75">
      <c r="A91" s="15" t="s">
        <v>96</v>
      </c>
      <c r="B91" s="167" t="s">
        <v>120</v>
      </c>
    </row>
    <row r="92" spans="1:2" ht="12.75">
      <c r="A92" s="2"/>
      <c r="B92" t="s">
        <v>121</v>
      </c>
    </row>
    <row r="94" ht="12.75">
      <c r="A94" s="3" t="s">
        <v>122</v>
      </c>
    </row>
    <row r="95" ht="12.75">
      <c r="B95" s="21" t="s">
        <v>70</v>
      </c>
    </row>
    <row r="96" ht="12.75">
      <c r="B96" s="21" t="s">
        <v>71</v>
      </c>
    </row>
    <row r="97" ht="12.75">
      <c r="B97" s="21" t="s">
        <v>3</v>
      </c>
    </row>
    <row r="98" ht="12.75">
      <c r="B98" s="21" t="s">
        <v>123</v>
      </c>
    </row>
    <row r="99" ht="12.75">
      <c r="B99" s="21" t="s">
        <v>28</v>
      </c>
    </row>
  </sheetData>
  <sheetProtection/>
  <mergeCells count="21">
    <mergeCell ref="E8:G8"/>
    <mergeCell ref="A25:C25"/>
    <mergeCell ref="H57:L57"/>
    <mergeCell ref="A61:F61"/>
    <mergeCell ref="A22:C22"/>
    <mergeCell ref="A1:F1"/>
    <mergeCell ref="A2:F2"/>
    <mergeCell ref="A24:C24"/>
    <mergeCell ref="B9:C9"/>
    <mergeCell ref="A20:C20"/>
    <mergeCell ref="A18:C18"/>
    <mergeCell ref="M57:Q57"/>
    <mergeCell ref="E9:G9"/>
    <mergeCell ref="B8:C8"/>
    <mergeCell ref="C83:E83"/>
    <mergeCell ref="A33:C33"/>
    <mergeCell ref="A34:C34"/>
    <mergeCell ref="A46:B46"/>
    <mergeCell ref="A16:C16"/>
    <mergeCell ref="C82:E82"/>
    <mergeCell ref="B72:G72"/>
  </mergeCells>
  <dataValidations count="1">
    <dataValidation type="list" allowBlank="1" showInputMessage="1" showErrorMessage="1" sqref="C46">
      <formula1>Override</formula1>
    </dataValidation>
  </dataValidations>
  <printOptions/>
  <pageMargins left="0.41" right="0.47" top="0.63" bottom="0.34" header="0.25" footer="0.2"/>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3" sqref="E33"/>
    </sheetView>
  </sheetViews>
  <sheetFormatPr defaultColWidth="8.8515625" defaultRowHeight="12.75"/>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selection activeCell="B13" sqref="B13"/>
    </sheetView>
  </sheetViews>
  <sheetFormatPr defaultColWidth="8.8515625" defaultRowHeight="12.75"/>
  <cols>
    <col min="1" max="1" width="22.421875" style="0" customWidth="1"/>
    <col min="2" max="2" width="15.140625" style="0" bestFit="1" customWidth="1"/>
  </cols>
  <sheetData>
    <row r="1" spans="2:6" ht="12.75">
      <c r="B1" t="s">
        <v>59</v>
      </c>
      <c r="F1" s="15" t="s">
        <v>22</v>
      </c>
    </row>
    <row r="2" spans="1:2" ht="13.5" thickBot="1">
      <c r="A2" t="s">
        <v>45</v>
      </c>
      <c r="B2" s="6">
        <f>Input!F42</f>
        <v>600</v>
      </c>
    </row>
    <row r="3" spans="1:9" ht="12.75">
      <c r="A3" t="s">
        <v>44</v>
      </c>
      <c r="B3" s="6">
        <f>IF((Input!F40*Input!F41)&gt;B2,Input!F40*Input!F41,'INACTIVE - chart data'!B2)</f>
        <v>600</v>
      </c>
      <c r="C3" s="9">
        <v>-0.15</v>
      </c>
      <c r="D3" s="9">
        <v>-0.1</v>
      </c>
      <c r="E3" s="9">
        <v>-0.05</v>
      </c>
      <c r="F3" s="18" t="s">
        <v>34</v>
      </c>
      <c r="G3" s="9">
        <v>0.05</v>
      </c>
      <c r="H3" s="9">
        <v>0.1</v>
      </c>
      <c r="I3" s="9">
        <v>0.15</v>
      </c>
    </row>
    <row r="4" spans="1:9" ht="13.5" thickBot="1">
      <c r="A4" t="s">
        <v>46</v>
      </c>
      <c r="B4" s="10">
        <f>B3/Input!F44</f>
        <v>1.2</v>
      </c>
      <c r="C4" s="10">
        <f>B4*0.85</f>
        <v>1.02</v>
      </c>
      <c r="D4" s="10">
        <f>B4*0.9</f>
        <v>1.08</v>
      </c>
      <c r="E4" s="10">
        <f>B4*0.95</f>
        <v>1.14</v>
      </c>
      <c r="F4" s="14">
        <f>B4</f>
        <v>1.2</v>
      </c>
      <c r="G4" s="10">
        <f>B4*1.05</f>
        <v>1.26</v>
      </c>
      <c r="H4" s="10">
        <f>B4*1.1</f>
        <v>1.32</v>
      </c>
      <c r="I4" s="10">
        <f>B4*1.15</f>
        <v>1.38</v>
      </c>
    </row>
    <row r="5" ht="13.5" thickBot="1"/>
    <row r="6" spans="1:9" ht="12.75">
      <c r="A6" t="s">
        <v>32</v>
      </c>
      <c r="B6">
        <f>Input!F24</f>
        <v>11</v>
      </c>
      <c r="C6">
        <f>F6*0.85</f>
        <v>9.35</v>
      </c>
      <c r="D6">
        <f>F6*0.9</f>
        <v>9.9</v>
      </c>
      <c r="E6">
        <f>F6*0.95</f>
        <v>10.45</v>
      </c>
      <c r="F6" s="11">
        <f>Input!F24</f>
        <v>11</v>
      </c>
      <c r="G6">
        <f>F6*1.05</f>
        <v>11.55</v>
      </c>
      <c r="H6">
        <f>F6*1.1</f>
        <v>12.100000000000001</v>
      </c>
      <c r="I6">
        <f>F6*1.15</f>
        <v>12.649999999999999</v>
      </c>
    </row>
    <row r="7" spans="1:9" ht="12.75">
      <c r="A7" t="s">
        <v>35</v>
      </c>
      <c r="B7" s="17">
        <f>Input!F25</f>
        <v>33.18181818181818</v>
      </c>
      <c r="C7" s="19">
        <f>365/C6</f>
        <v>39.037433155080215</v>
      </c>
      <c r="D7" s="19">
        <f>365/D6</f>
        <v>36.868686868686865</v>
      </c>
      <c r="E7" s="19">
        <f>365/E6</f>
        <v>34.928229665071775</v>
      </c>
      <c r="F7" s="20">
        <f>Input!F25</f>
        <v>33.18181818181818</v>
      </c>
      <c r="G7" s="19">
        <f>365/G6</f>
        <v>31.6017316017316</v>
      </c>
      <c r="H7" s="19">
        <f>365/H6</f>
        <v>30.165289256198342</v>
      </c>
      <c r="I7" s="19">
        <f>365/I6</f>
        <v>28.853754940711465</v>
      </c>
    </row>
    <row r="8" spans="1:9" ht="12.75">
      <c r="A8" t="s">
        <v>21</v>
      </c>
      <c r="B8" s="6" t="e">
        <f>Input!#REF!</f>
        <v>#REF!</v>
      </c>
      <c r="C8" s="16" t="e">
        <f>$F8*(1+C3)</f>
        <v>#REF!</v>
      </c>
      <c r="D8" s="16" t="e">
        <f>$F8*(1+D3)</f>
        <v>#REF!</v>
      </c>
      <c r="E8" s="16" t="e">
        <f>$F8*(1+E3)</f>
        <v>#REF!</v>
      </c>
      <c r="F8" s="12" t="e">
        <f>B8</f>
        <v>#REF!</v>
      </c>
      <c r="G8" s="16" t="e">
        <f>$F8*(1+G3)</f>
        <v>#REF!</v>
      </c>
      <c r="H8" s="16" t="e">
        <f>$F8*(1+H3)</f>
        <v>#REF!</v>
      </c>
      <c r="I8" s="16" t="e">
        <f>$F8*(1+I3)</f>
        <v>#REF!</v>
      </c>
    </row>
    <row r="9" spans="1:9" ht="12.75">
      <c r="A9" t="s">
        <v>31</v>
      </c>
      <c r="B9" s="6">
        <f>Input!F57</f>
        <v>0.25</v>
      </c>
      <c r="C9" s="6">
        <f>B9</f>
        <v>0.25</v>
      </c>
      <c r="D9" s="6">
        <f aca="true" t="shared" si="0" ref="D9:I9">C9</f>
        <v>0.25</v>
      </c>
      <c r="E9" s="6">
        <f t="shared" si="0"/>
        <v>0.25</v>
      </c>
      <c r="F9" s="12">
        <f t="shared" si="0"/>
        <v>0.25</v>
      </c>
      <c r="G9" s="6">
        <f t="shared" si="0"/>
        <v>0.25</v>
      </c>
      <c r="H9" s="6">
        <f t="shared" si="0"/>
        <v>0.25</v>
      </c>
      <c r="I9" s="6">
        <f t="shared" si="0"/>
        <v>0.25</v>
      </c>
    </row>
    <row r="10" spans="2:9" ht="13.5" thickBot="1">
      <c r="B10" s="6"/>
      <c r="C10" s="6"/>
      <c r="D10" s="6"/>
      <c r="E10" s="6"/>
      <c r="F10" s="13"/>
      <c r="G10" s="6"/>
      <c r="H10" s="6"/>
      <c r="I10" s="6"/>
    </row>
    <row r="11" spans="1:9" ht="12.75">
      <c r="A11" t="s">
        <v>33</v>
      </c>
      <c r="C11" s="17" t="e">
        <f>C4+C8+C9+C10</f>
        <v>#REF!</v>
      </c>
      <c r="D11" s="17" t="e">
        <f aca="true" t="shared" si="1" ref="D11:I11">D4+D8+D9+D10</f>
        <v>#REF!</v>
      </c>
      <c r="E11" s="17" t="e">
        <f t="shared" si="1"/>
        <v>#REF!</v>
      </c>
      <c r="F11" s="17" t="e">
        <f t="shared" si="1"/>
        <v>#REF!</v>
      </c>
      <c r="G11" s="17" t="e">
        <f t="shared" si="1"/>
        <v>#REF!</v>
      </c>
      <c r="H11" s="17" t="e">
        <f t="shared" si="1"/>
        <v>#REF!</v>
      </c>
      <c r="I11" s="17" t="e">
        <f t="shared" si="1"/>
        <v>#REF!</v>
      </c>
    </row>
    <row r="13" spans="1:9" ht="12.75">
      <c r="A13" t="s">
        <v>47</v>
      </c>
      <c r="B13" s="6">
        <f>Input!C12</f>
        <v>0.52</v>
      </c>
      <c r="C13" s="6">
        <f>B13</f>
        <v>0.52</v>
      </c>
      <c r="D13" s="6">
        <f aca="true" t="shared" si="2" ref="D13:I13">C13</f>
        <v>0.52</v>
      </c>
      <c r="E13" s="6">
        <f t="shared" si="2"/>
        <v>0.52</v>
      </c>
      <c r="F13" s="6">
        <f t="shared" si="2"/>
        <v>0.52</v>
      </c>
      <c r="G13" s="6">
        <f t="shared" si="2"/>
        <v>0.52</v>
      </c>
      <c r="H13" s="6">
        <f t="shared" si="2"/>
        <v>0.52</v>
      </c>
      <c r="I13" s="6">
        <f t="shared" si="2"/>
        <v>0.52</v>
      </c>
    </row>
    <row r="14" ht="12.75">
      <c r="B14" s="6"/>
    </row>
    <row r="15" spans="1:9" ht="12.75">
      <c r="A15" t="s">
        <v>60</v>
      </c>
      <c r="B15" s="6"/>
      <c r="C15" s="1" t="e">
        <f>I11</f>
        <v>#REF!</v>
      </c>
      <c r="D15" s="1" t="e">
        <f>H11</f>
        <v>#REF!</v>
      </c>
      <c r="E15" s="1" t="e">
        <f>G11</f>
        <v>#REF!</v>
      </c>
      <c r="F15" s="1" t="e">
        <f>F11</f>
        <v>#REF!</v>
      </c>
      <c r="G15" s="1" t="e">
        <f>E11</f>
        <v>#REF!</v>
      </c>
      <c r="H15" s="1" t="e">
        <f>D11</f>
        <v>#REF!</v>
      </c>
      <c r="I15" s="1" t="e">
        <f>C11</f>
        <v>#REF!</v>
      </c>
    </row>
    <row r="16" spans="1:9" ht="12.75">
      <c r="A16" t="s">
        <v>35</v>
      </c>
      <c r="C16" s="19">
        <f>I7</f>
        <v>28.853754940711465</v>
      </c>
      <c r="D16" s="19">
        <f>H7</f>
        <v>30.165289256198342</v>
      </c>
      <c r="E16" s="19">
        <f>G7</f>
        <v>31.6017316017316</v>
      </c>
      <c r="F16" s="19">
        <f>F7</f>
        <v>33.18181818181818</v>
      </c>
      <c r="G16" s="19">
        <f>E7</f>
        <v>34.928229665071775</v>
      </c>
      <c r="H16" s="19">
        <f>D7</f>
        <v>36.868686868686865</v>
      </c>
      <c r="I16" s="19">
        <f>C7</f>
        <v>39.037433155080215</v>
      </c>
    </row>
    <row r="20" ht="12.75">
      <c r="B20" t="s">
        <v>69</v>
      </c>
    </row>
    <row r="21" spans="1:2" ht="12.75">
      <c r="A21" t="s">
        <v>66</v>
      </c>
      <c r="B21" s="2" t="s">
        <v>67</v>
      </c>
    </row>
    <row r="22" ht="12.75">
      <c r="B22" s="2" t="s">
        <v>68</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11.421875" defaultRowHeight="12.75"/>
  <cols>
    <col min="1" max="1" width="29.421875" style="0" customWidth="1"/>
  </cols>
  <sheetData>
    <row r="1" spans="1:7" ht="18.75">
      <c r="A1" s="153" t="s">
        <v>74</v>
      </c>
      <c r="B1" s="153"/>
      <c r="C1" s="154"/>
      <c r="D1" s="154"/>
      <c r="E1" s="154"/>
      <c r="F1" s="154"/>
      <c r="G1" s="153"/>
    </row>
    <row r="2" spans="1:7" ht="18.75">
      <c r="A2" s="153" t="s">
        <v>75</v>
      </c>
      <c r="B2" s="154"/>
      <c r="C2" s="154"/>
      <c r="D2" s="154"/>
      <c r="E2" s="154"/>
      <c r="F2" s="154"/>
      <c r="G2" s="153"/>
    </row>
    <row r="3" spans="1:7" ht="15">
      <c r="A3" s="155" t="s">
        <v>76</v>
      </c>
      <c r="B3" s="156"/>
      <c r="C3" s="156"/>
      <c r="D3" s="156"/>
      <c r="E3" s="156"/>
      <c r="F3" s="156"/>
      <c r="G3" s="155"/>
    </row>
    <row r="4" spans="1:7" ht="15">
      <c r="A4" s="157">
        <v>41177</v>
      </c>
      <c r="B4" s="156"/>
      <c r="C4" s="156"/>
      <c r="D4" s="156"/>
      <c r="E4" s="156"/>
      <c r="F4" s="156"/>
      <c r="G4" s="155"/>
    </row>
    <row r="5" spans="1:7" ht="15">
      <c r="A5" s="155"/>
      <c r="B5" s="156"/>
      <c r="C5" s="156"/>
      <c r="D5" s="156"/>
      <c r="E5" s="156"/>
      <c r="F5" s="156"/>
      <c r="G5" s="155"/>
    </row>
    <row r="6" spans="1:7" ht="105">
      <c r="A6" s="158" t="s">
        <v>77</v>
      </c>
      <c r="B6" s="159" t="s">
        <v>78</v>
      </c>
      <c r="C6" s="159" t="s">
        <v>79</v>
      </c>
      <c r="D6" s="159" t="s">
        <v>80</v>
      </c>
      <c r="E6" s="159" t="s">
        <v>81</v>
      </c>
      <c r="F6" s="159" t="s">
        <v>82</v>
      </c>
      <c r="G6" s="160"/>
    </row>
    <row r="7" spans="1:7" ht="15">
      <c r="A7" s="161" t="s">
        <v>83</v>
      </c>
      <c r="B7" s="162"/>
      <c r="C7" s="163">
        <v>16</v>
      </c>
      <c r="D7" s="164">
        <v>64747</v>
      </c>
      <c r="E7" s="162"/>
      <c r="F7" s="162"/>
      <c r="G7" s="155"/>
    </row>
    <row r="8" spans="1:7" ht="15">
      <c r="A8" s="161" t="s">
        <v>84</v>
      </c>
      <c r="B8" s="162">
        <v>17</v>
      </c>
      <c r="C8" s="163">
        <v>6.1</v>
      </c>
      <c r="D8" s="164">
        <v>4100</v>
      </c>
      <c r="E8" s="162">
        <v>3.3</v>
      </c>
      <c r="F8" s="164">
        <v>7000</v>
      </c>
      <c r="G8" s="155"/>
    </row>
    <row r="9" spans="1:7" ht="15">
      <c r="A9" s="161" t="s">
        <v>85</v>
      </c>
      <c r="B9" s="162">
        <v>17</v>
      </c>
      <c r="C9" s="163">
        <v>2.5</v>
      </c>
      <c r="D9" s="164">
        <v>4100</v>
      </c>
      <c r="E9" s="162">
        <v>3.3</v>
      </c>
      <c r="F9" s="164">
        <v>7000</v>
      </c>
      <c r="G9" s="155"/>
    </row>
    <row r="10" spans="1:7" ht="15">
      <c r="A10" s="161" t="s">
        <v>86</v>
      </c>
      <c r="B10" s="162">
        <v>17</v>
      </c>
      <c r="C10" s="163">
        <v>6.1</v>
      </c>
      <c r="D10" s="164">
        <v>4100</v>
      </c>
      <c r="E10" s="162">
        <v>3.3</v>
      </c>
      <c r="F10" s="164">
        <v>7000</v>
      </c>
      <c r="G10" s="155"/>
    </row>
    <row r="11" spans="1:7" ht="15">
      <c r="A11" s="161" t="s">
        <v>87</v>
      </c>
      <c r="B11" s="162">
        <v>5</v>
      </c>
      <c r="C11" s="163">
        <v>3</v>
      </c>
      <c r="D11" s="162">
        <v>319</v>
      </c>
      <c r="E11" s="162"/>
      <c r="F11" s="162"/>
      <c r="G11" s="155"/>
    </row>
    <row r="12" spans="1:7" ht="15">
      <c r="A12" s="161" t="s">
        <v>88</v>
      </c>
      <c r="B12" s="162">
        <v>17</v>
      </c>
      <c r="C12" s="163">
        <v>6.1</v>
      </c>
      <c r="D12" s="164">
        <v>4100</v>
      </c>
      <c r="E12" s="162">
        <v>3.3</v>
      </c>
      <c r="F12" s="164">
        <v>7000</v>
      </c>
      <c r="G12" s="155"/>
    </row>
    <row r="13" spans="1:7" ht="15">
      <c r="A13" s="161" t="s">
        <v>89</v>
      </c>
      <c r="B13" s="162"/>
      <c r="C13" s="163">
        <v>2.1</v>
      </c>
      <c r="D13" s="162">
        <v>7820</v>
      </c>
      <c r="E13" s="165"/>
      <c r="F13" s="162"/>
      <c r="G13" s="155"/>
    </row>
    <row r="14" spans="1:7" ht="15">
      <c r="A14" s="161" t="s">
        <v>90</v>
      </c>
      <c r="B14" s="162"/>
      <c r="C14" s="163">
        <v>2</v>
      </c>
      <c r="D14" s="162"/>
      <c r="E14" s="165"/>
      <c r="F14" s="162"/>
      <c r="G14" s="155"/>
    </row>
    <row r="15" spans="1:7" ht="15">
      <c r="A15" s="161" t="s">
        <v>91</v>
      </c>
      <c r="B15" s="162"/>
      <c r="C15" s="163">
        <v>2</v>
      </c>
      <c r="D15" s="162">
        <v>5965</v>
      </c>
      <c r="E15" s="162"/>
      <c r="F15" s="162"/>
      <c r="G15" s="155"/>
    </row>
    <row r="16" spans="1:7" ht="15">
      <c r="A16" s="161" t="s">
        <v>92</v>
      </c>
      <c r="B16" s="162">
        <v>5</v>
      </c>
      <c r="C16" s="163">
        <v>1.3</v>
      </c>
      <c r="D16" s="162">
        <v>319</v>
      </c>
      <c r="E16" s="165"/>
      <c r="F16" s="162"/>
      <c r="G16" s="155"/>
    </row>
    <row r="17" spans="1:7" ht="15">
      <c r="A17" s="155"/>
      <c r="B17" s="156"/>
      <c r="C17" s="156"/>
      <c r="D17" s="156"/>
      <c r="E17" s="156"/>
      <c r="F17" s="156"/>
      <c r="G17" s="155"/>
    </row>
    <row r="18" spans="1:7" ht="15">
      <c r="A18" s="155"/>
      <c r="B18" s="156"/>
      <c r="C18" s="156"/>
      <c r="D18" s="156"/>
      <c r="E18" s="156"/>
      <c r="F18" s="156"/>
      <c r="G18" s="155"/>
    </row>
    <row r="19" spans="1:7" ht="15">
      <c r="A19" s="155"/>
      <c r="B19" s="156"/>
      <c r="C19" s="156"/>
      <c r="D19" s="156"/>
      <c r="E19" s="156"/>
      <c r="F19" s="156"/>
      <c r="G19" s="155"/>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Tosca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Corrugated vs RPC cost Analyzer</dc:title>
  <dc:subject>For RPCC &amp; StopWast.Org use</dc:subject>
  <dc:creator>Andy Dewitt</dc:creator>
  <cp:keywords/>
  <dc:description/>
  <cp:lastModifiedBy>mjeffery</cp:lastModifiedBy>
  <cp:lastPrinted>2007-08-08T22:26:05Z</cp:lastPrinted>
  <dcterms:created xsi:type="dcterms:W3CDTF">2007-04-25T18:55:48Z</dcterms:created>
  <dcterms:modified xsi:type="dcterms:W3CDTF">2012-12-18T19:35:56Z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Tosca Ltd.</vt:lpwstr>
  </property>
  <property fmtid="{D5CDD505-2E9C-101B-9397-08002B2CF9AE}" pid="3" name="EmailTo">
    <vt:lpwstr/>
  </property>
  <property fmtid="{D5CDD505-2E9C-101B-9397-08002B2CF9AE}" pid="4" name="EmailSender">
    <vt:lpwstr/>
  </property>
  <property fmtid="{D5CDD505-2E9C-101B-9397-08002B2CF9AE}" pid="5" name="EmailFrom">
    <vt:lpwstr/>
  </property>
  <property fmtid="{D5CDD505-2E9C-101B-9397-08002B2CF9AE}" pid="6" name="EmailSubject">
    <vt:lpwstr/>
  </property>
  <property fmtid="{D5CDD505-2E9C-101B-9397-08002B2CF9AE}" pid="7" name="EmailCc">
    <vt:lpwstr/>
  </property>
</Properties>
</file>