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705" windowWidth="18480" windowHeight="10005" activeTab="0"/>
  </bookViews>
  <sheets>
    <sheet name="Input" sheetId="1" r:id="rId1"/>
    <sheet name="INACTIVE -Charts" sheetId="2" r:id="rId2"/>
    <sheet name="INACTIVE - chart data" sheetId="3" r:id="rId3"/>
    <sheet name="Equivalence Factors" sheetId="4" r:id="rId4"/>
  </sheets>
  <definedNames>
    <definedName name="Override">'INACTIVE - chart data'!$B$21:$B$22</definedName>
  </definedNames>
  <calcPr fullCalcOnLoad="1"/>
</workbook>
</file>

<file path=xl/comments4.xml><?xml version="1.0" encoding="utf-8"?>
<comments xmlns="http://schemas.openxmlformats.org/spreadsheetml/2006/main">
  <authors>
    <author>Chung, Reagan</author>
  </authors>
  <commentList>
    <comment ref="C16" authorId="0">
      <text>
        <r>
          <rPr>
            <b/>
            <sz val="9"/>
            <rFont val="Tahoma"/>
            <family val="2"/>
          </rPr>
          <t>Chung, Reagan:</t>
        </r>
        <r>
          <rPr>
            <sz val="9"/>
            <rFont val="Tahoma"/>
            <family val="2"/>
          </rPr>
          <t xml:space="preserve">
From WARM V12, source reduced from landfill.</t>
        </r>
      </text>
    </comment>
    <comment ref="C9" authorId="0">
      <text>
        <r>
          <rPr>
            <b/>
            <sz val="9"/>
            <rFont val="Tahoma"/>
            <family val="2"/>
          </rPr>
          <t>Chung, Reagan:</t>
        </r>
        <r>
          <rPr>
            <sz val="9"/>
            <rFont val="Tahoma"/>
            <family val="2"/>
          </rPr>
          <t xml:space="preserve">
WARM V12, Source reduced from Recycling corrugated containers.</t>
        </r>
      </text>
    </comment>
  </commentList>
</comments>
</file>

<file path=xl/sharedStrings.xml><?xml version="1.0" encoding="utf-8"?>
<sst xmlns="http://schemas.openxmlformats.org/spreadsheetml/2006/main" count="142" uniqueCount="133">
  <si>
    <t>\</t>
  </si>
  <si>
    <t>Round trips per year per reusable</t>
  </si>
  <si>
    <t>Processing Cost</t>
  </si>
  <si>
    <r>
      <t>·</t>
    </r>
    <r>
      <rPr>
        <sz val="10"/>
        <rFont val="Arial"/>
        <family val="2"/>
      </rPr>
      <t xml:space="preserve"> Reduced tangential packaging costs, (e.g., stretch wrap, corner boards)</t>
    </r>
  </si>
  <si>
    <t>Total purchase cost</t>
  </si>
  <si>
    <t>Volume</t>
  </si>
  <si>
    <t>Cost per mile used</t>
  </si>
  <si>
    <t>Cost per truck load</t>
  </si>
  <si>
    <t>Total cost per use</t>
  </si>
  <si>
    <t>Amortization years</t>
  </si>
  <si>
    <t>Calculations - reusable</t>
  </si>
  <si>
    <t>Supplemental materials</t>
  </si>
  <si>
    <t xml:space="preserve"> </t>
  </si>
  <si>
    <t>Disposal cost = (Cost of landfill in $/ton ) x (weight entered in C11) / 2000</t>
  </si>
  <si>
    <t>Damage from pkg = % damage incidence x  value of shipment</t>
  </si>
  <si>
    <t>Recycling revenue, e.g. $25-$200/ton baled cardboard</t>
  </si>
  <si>
    <t>Processing time for reusable (cleaning, etc.)</t>
  </si>
  <si>
    <t>Cycle Time</t>
  </si>
  <si>
    <t>Reusable Type</t>
  </si>
  <si>
    <t>Total reusable fleet size</t>
  </si>
  <si>
    <t>Calculation will use this reverse logitics cost per container</t>
  </si>
  <si>
    <t>Cost per container</t>
  </si>
  <si>
    <t>RPC cost per use</t>
  </si>
  <si>
    <t>Mid</t>
  </si>
  <si>
    <t>Definitions</t>
  </si>
  <si>
    <t>Days at end user</t>
  </si>
  <si>
    <r>
      <t xml:space="preserve">Override: </t>
    </r>
    <r>
      <rPr>
        <sz val="10"/>
        <color indexed="16"/>
        <rFont val="Arial"/>
        <family val="2"/>
      </rPr>
      <t>If you'd like to enter your own cost for returning the containers and override these calculations, select Yes and enter the cost.</t>
    </r>
  </si>
  <si>
    <t>Purchase Price</t>
  </si>
  <si>
    <t>Cost Savings / (Penalty) using Reusable Shipping Container</t>
  </si>
  <si>
    <r>
      <t>·</t>
    </r>
    <r>
      <rPr>
        <sz val="10"/>
        <rFont val="Arial"/>
        <family val="2"/>
      </rPr>
      <t xml:space="preserve"> Benefits from reusables creating enabling processes for lean manufacturing</t>
    </r>
  </si>
  <si>
    <r>
      <t>·</t>
    </r>
    <r>
      <rPr>
        <sz val="10"/>
        <rFont val="Arial"/>
        <family val="2"/>
      </rPr>
      <t xml:space="preserve"> Potential for reduced greenhouse gas emissions and overall energy consumption</t>
    </r>
  </si>
  <si>
    <t>Enter your own override reverse logistics cost here (and select yes on left):</t>
  </si>
  <si>
    <t>Reusable, total cost (sum of above costs)</t>
  </si>
  <si>
    <t>Handling per use</t>
  </si>
  <si>
    <t>Turn Days</t>
  </si>
  <si>
    <t>Plotting costs</t>
  </si>
  <si>
    <t>Base</t>
  </si>
  <si>
    <t>Turns per Year</t>
  </si>
  <si>
    <t>Safety cushion (in days of reusables on hand)</t>
  </si>
  <si>
    <t>The "safety cushion" is an amount of excess packaging kept on hand to avoid running out at any time. If the cycle time through your supply chain is relatively predictable, your required "safety stock" might not be very significant. Experts recommend at least 1 to 3 days.</t>
  </si>
  <si>
    <t>Reusable Container Cost Per Use</t>
  </si>
  <si>
    <t>Total reusables investment</t>
  </si>
  <si>
    <t>Amortized investment</t>
  </si>
  <si>
    <t>Other Costs/Savings Estimates</t>
  </si>
  <si>
    <t>Annual Savings / (Penalty)</t>
  </si>
  <si>
    <t>Truck load costs</t>
  </si>
  <si>
    <t>Minimu TL</t>
  </si>
  <si>
    <t>Return cost per unit</t>
  </si>
  <si>
    <t>Corrugated cost per use</t>
  </si>
  <si>
    <t>Pallet</t>
  </si>
  <si>
    <t>Total number of units shipped per year</t>
  </si>
  <si>
    <t>Total number of reusables shipped per year</t>
  </si>
  <si>
    <t>Reusables can last indefinitely if not lost or mishandled, but it is typical to amortize the cost over a 5 year period.</t>
  </si>
  <si>
    <t>Additional cost (savings)</t>
  </si>
  <si>
    <t>Labor cost</t>
  </si>
  <si>
    <t>Annual cost</t>
  </si>
  <si>
    <t>Total Cycle Time</t>
  </si>
  <si>
    <t>Minimum cost for a truck load</t>
  </si>
  <si>
    <t>Return Logistics (Costs to Return Reusables)</t>
  </si>
  <si>
    <r>
      <t>Replacement Rate:</t>
    </r>
    <r>
      <rPr>
        <b/>
        <sz val="10"/>
        <color indexed="16"/>
        <rFont val="Arial"/>
        <family val="2"/>
      </rPr>
      <t xml:space="preserve"> </t>
    </r>
    <r>
      <rPr>
        <sz val="10"/>
        <color indexed="16"/>
        <rFont val="Arial"/>
        <family val="2"/>
      </rPr>
      <t>At what rate do you expect to replace lost or damaged reusables annually? The Default value is 3%</t>
    </r>
  </si>
  <si>
    <t>Base from Inputs</t>
  </si>
  <si>
    <t>RPC Costs per Use</t>
  </si>
  <si>
    <t>Item</t>
  </si>
  <si>
    <t>Number of miles to return to the starting point</t>
  </si>
  <si>
    <t>Enter the number of miles the container will travel to return to your facility.</t>
  </si>
  <si>
    <t>The # of complete round-trips. As cycle time decreases, the # of round trips per year increases, resulting in better payback potential.</t>
  </si>
  <si>
    <t>Damage from pkg</t>
  </si>
  <si>
    <t>override selection</t>
  </si>
  <si>
    <t>Yes</t>
  </si>
  <si>
    <t>No</t>
  </si>
  <si>
    <t>Override</t>
  </si>
  <si>
    <r>
      <t>·</t>
    </r>
    <r>
      <rPr>
        <sz val="10"/>
        <rFont val="Arial"/>
        <family val="2"/>
      </rPr>
      <t xml:space="preserve"> Easier loading and unloading of product; ergonomic benefits</t>
    </r>
  </si>
  <si>
    <r>
      <t>·</t>
    </r>
    <r>
      <rPr>
        <sz val="10"/>
        <rFont val="Arial"/>
        <family val="2"/>
      </rPr>
      <t xml:space="preserve"> Better cube utilization in trailers; reusables are made to stack and interlock</t>
    </r>
  </si>
  <si>
    <t>Does not include potential cost savings from the following benefits of using Reusables</t>
  </si>
  <si>
    <t>*This cost comparison is presented as guidance on evaluating reusables. Each situation will be unique.</t>
  </si>
  <si>
    <t>Use the optional spaces below to enter additional costs or savings for disposable and reusable containers. Examples are provided - delete or modify as appropriate for your circumstances.</t>
  </si>
  <si>
    <t>Cost savings per unit per trip</t>
  </si>
  <si>
    <t>StopWaste.org - SAIC - Thor Consulting, Inc.</t>
  </si>
  <si>
    <t>Environmental Conversion Factors</t>
  </si>
  <si>
    <t>Eric Fredrickson</t>
  </si>
  <si>
    <t>Single Use Packaging Material</t>
  </si>
  <si>
    <t>Trees Saved per Ton</t>
  </si>
  <si>
    <t>Greenhouse Gas Emmissions Reduced (tons) per Ton</t>
  </si>
  <si>
    <t>Energy Saved (Kwh) per Ton</t>
  </si>
  <si>
    <r>
      <t>Solid Waste Reduced (yd</t>
    </r>
    <r>
      <rPr>
        <b/>
        <vertAlign val="superscript"/>
        <sz val="11"/>
        <color indexed="63"/>
        <rFont val="Calibri"/>
        <family val="2"/>
      </rPr>
      <t>3</t>
    </r>
    <r>
      <rPr>
        <b/>
        <sz val="11"/>
        <color indexed="63"/>
        <rFont val="Calibri"/>
        <family val="2"/>
      </rPr>
      <t>) per Ton</t>
    </r>
  </si>
  <si>
    <t>Fresh Water Saved (gal.) per Ton</t>
  </si>
  <si>
    <t>Aluminum</t>
  </si>
  <si>
    <t>Chipboard</t>
  </si>
  <si>
    <t>Corrugated Cardboard</t>
  </si>
  <si>
    <t>Hardboard</t>
  </si>
  <si>
    <t>Laminate</t>
  </si>
  <si>
    <t>Paper</t>
  </si>
  <si>
    <t xml:space="preserve">Plastic </t>
  </si>
  <si>
    <t>Stretch Wrap</t>
  </si>
  <si>
    <t>Steel</t>
  </si>
  <si>
    <t>Wood</t>
  </si>
  <si>
    <t>Green House Gases</t>
  </si>
  <si>
    <t xml:space="preserve">Trees Equivalent </t>
  </si>
  <si>
    <t>Annual Savings</t>
  </si>
  <si>
    <t>Solid Waste (US Tons)</t>
  </si>
  <si>
    <t>Cars Equivalent (cars/ yr)</t>
  </si>
  <si>
    <t>Assumptions are based on the average of 25MPG, and distances of 10,000 miles per year</t>
  </si>
  <si>
    <t>Assumptions</t>
  </si>
  <si>
    <t>Cars Equivalent: 25 MPG car, 10000 miles per year</t>
  </si>
  <si>
    <t>Days at supplier site</t>
  </si>
  <si>
    <t>Factor in the costs for returning reusable pallets</t>
  </si>
  <si>
    <t>Pallets per truck load</t>
  </si>
  <si>
    <t>Return cost per limited-use pallet</t>
  </si>
  <si>
    <t>Return cost per reusable pallet</t>
  </si>
  <si>
    <t>ROI (return on amortized investment)</t>
  </si>
  <si>
    <t>ROI (return on total investment)</t>
  </si>
  <si>
    <t>Limited-Use Cartons: assumed Corrugated Cardboard Material</t>
  </si>
  <si>
    <t>Limited-Use Pallets: assumed Wood ("Dimensional Lumber" in WARM)</t>
  </si>
  <si>
    <t>Reusables Cost Comparison Tool - Pallets</t>
  </si>
  <si>
    <t>This tool provides a first-order evaluation of reusable transport packaging by comparing basic cost differences of disposable packaging (limited-use pallets) and reusable packaging.  Input cost components specific to your business to view estimated annual cost savings and return on investment.  Use these estimates to determine if it makes economic sense for your business to implement reusable transport packaging.  A more detailed cost analysis should be done once you obtain accurate data and cost estimates for the assumptions we provide here.
Note: This tool was developed to assess closed loop opportunities.  For "open loop" scenarios a third-party pooling solution may be appropriate, contact our technical assistance team to find out more.</t>
  </si>
  <si>
    <t>Enter your actual cost per limited-use pallet and the cost of a durable, reusable pallet. Default values are provided.</t>
  </si>
  <si>
    <t>"Cycle time" is the amount of time in days that a reusable pallet will be held at various stages in your supply or distribution chain. In addition to time at your facility, be sure to also enter time at any distribution centers, transit time, time at the destination, and time for preparing and returning the pallet for reuse. (Leave lines blank for rows that do not apply to your situation).</t>
  </si>
  <si>
    <t>Transit days to end user</t>
  </si>
  <si>
    <t>Transit days back to supplier site</t>
  </si>
  <si>
    <t>Days at end user's location (i.e. final destination) (e.g., retail store, warehouse). Includes those in use, waiting to be unloaded, queued for return.</t>
  </si>
  <si>
    <t xml:space="preserve"> If you use limited-use pallets more than once, enter the expected number of re-uses here.  Enter "1" if pallets are single-use only/not reused.</t>
  </si>
  <si>
    <t xml:space="preserve">For this example, enter the annual number of disposables shipped (i.e. shipments) in a given year,  and the equivalent number of reusables to ship the same amount of product.   Assuming the reusables are the same size as the limited-use pallets, limited-use volume will equal the reusables volume. </t>
  </si>
  <si>
    <t>Number of uses of limited-use pallets</t>
  </si>
  <si>
    <t xml:space="preserve">This is the total quantity of reusable pallets needed in your system, based on the number of shipments per year and the cycle time.  </t>
  </si>
  <si>
    <t>Cost per Reusable Pallet</t>
  </si>
  <si>
    <t>Limited-use pallets are non-durable with a limited useful life of typically less than ten trips.</t>
  </si>
  <si>
    <r>
      <t xml:space="preserve">Enter the cost of supplemental materials used with each disposable unit.  </t>
    </r>
    <r>
      <rPr>
        <sz val="10"/>
        <color indexed="16"/>
        <rFont val="Arial"/>
        <family val="2"/>
      </rPr>
      <t>Do NOT include if material will also be used with the reusable alternative (e.g. if palletwrap is used with limited-use pallets and it's anticipated that it will continue to be used with reusable pallets).</t>
    </r>
  </si>
  <si>
    <r>
      <t>Enter weight of one unit of packaging in lbs.  Default is 40 lbs for a pall</t>
    </r>
    <r>
      <rPr>
        <sz val="10"/>
        <color indexed="16"/>
        <rFont val="Arial"/>
        <family val="2"/>
      </rPr>
      <t>et.  The weight of a reusable pallet is not needed for the purpose of this calculator.</t>
    </r>
  </si>
  <si>
    <t>A typical truck load can hold 500 empty reusable pallets</t>
  </si>
  <si>
    <r>
      <t>Processing Cost:</t>
    </r>
    <r>
      <rPr>
        <sz val="12"/>
        <color indexed="16"/>
        <rFont val="Arial"/>
        <family val="2"/>
      </rPr>
      <t xml:space="preserve"> </t>
    </r>
    <r>
      <rPr>
        <sz val="10"/>
        <color indexed="16"/>
        <rFont val="Arial"/>
        <family val="2"/>
      </rPr>
      <t>Use the default value of $0.25 to clean and prepare returned containers for reuse, or estimate your own.  Include washing costs, water costs, any extra storage costs, etc.  Processing costs for limited-use packaging may include disassembly/prep for recycling or disposal.</t>
    </r>
  </si>
  <si>
    <t>Cost of container divided by number of miles travelled</t>
  </si>
  <si>
    <t>Cost to run the truck (leasing, fuel, etc.)</t>
  </si>
  <si>
    <t>Automatically calculated based on the above entries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</si>
</sst>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00_);_(&quot;$&quot;* \(#,##0.000\);_(&quot;$&quot;* &quot;-&quot;??_);_(@_)"/>
    <numFmt numFmtId="167" formatCode="_(&quot;$&quot;* #,##0.0_);_(&quot;$&quot;* \(#,##0.0\);_(&quot;$&quot;* &quot;-&quot;??_);_(@_)"/>
    <numFmt numFmtId="168" formatCode="0.0"/>
    <numFmt numFmtId="169" formatCode="_(* #,##0.000_);_(* \(#,##0.000\);_(* &quot;-&quot;???_);_(@_)"/>
    <numFmt numFmtId="170" formatCode="0.000"/>
    <numFmt numFmtId="171" formatCode="0.0000"/>
    <numFmt numFmtId="172" formatCode="_(&quot;$&quot;* #,##0.000_);_(&quot;$&quot;* \(#,##0.000\);_(&quot;$&quot;* &quot;-&quot;???_);_(@_)"/>
    <numFmt numFmtId="173" formatCode="_(&quot;$&quot;* #,##0.0000_);_(&quot;$&quot;* \(#,##0.0000\);_(&quot;$&quot;* &quot;-&quot;??_);_(@_)"/>
    <numFmt numFmtId="174" formatCode="&quot;Yes&quot;;&quot;Yes&quot;;&quot;No&quot;"/>
    <numFmt numFmtId="175" formatCode="&quot;True&quot;;&quot;True&quot;;&quot;False&quot;"/>
    <numFmt numFmtId="176" formatCode="&quot;On&quot;;&quot;On&quot;;&quot;Off&quot;"/>
    <numFmt numFmtId="177" formatCode="[$€-2]\ #,##0.00_);[Red]\([$€-2]\ #,##0.00\)"/>
    <numFmt numFmtId="178" formatCode="&quot;$&quot;#,##0.00"/>
    <numFmt numFmtId="179" formatCode="0.0%"/>
    <numFmt numFmtId="180" formatCode="0.000000"/>
    <numFmt numFmtId="181" formatCode="0.00000"/>
  </numFmts>
  <fonts count="66">
    <font>
      <sz val="10"/>
      <name val="Arial"/>
      <family val="2"/>
    </font>
    <font>
      <sz val="8"/>
      <name val="Arial"/>
      <family val="2"/>
    </font>
    <font>
      <b/>
      <sz val="10"/>
      <name val="Arial"/>
      <family val="2"/>
    </font>
    <font>
      <i/>
      <sz val="10"/>
      <name val="Arial"/>
      <family val="2"/>
    </font>
    <font>
      <b/>
      <i/>
      <sz val="10"/>
      <name val="Arial"/>
      <family val="2"/>
    </font>
    <font>
      <sz val="10"/>
      <name val="Symbol"/>
      <family val="1"/>
    </font>
    <font>
      <i/>
      <sz val="10"/>
      <color indexed="10"/>
      <name val="Arial"/>
      <family val="2"/>
    </font>
    <font>
      <i/>
      <sz val="10"/>
      <color indexed="48"/>
      <name val="Arial"/>
      <family val="2"/>
    </font>
    <font>
      <sz val="10"/>
      <color indexed="48"/>
      <name val="Arial"/>
      <family val="2"/>
    </font>
    <font>
      <sz val="10"/>
      <color indexed="12"/>
      <name val="Arial"/>
      <family val="2"/>
    </font>
    <font>
      <b/>
      <sz val="12"/>
      <name val="Arial"/>
      <family val="2"/>
    </font>
    <font>
      <i/>
      <sz val="10"/>
      <color indexed="8"/>
      <name val="Arial"/>
      <family val="2"/>
    </font>
    <font>
      <i/>
      <sz val="10"/>
      <color indexed="16"/>
      <name val="Arial"/>
      <family val="2"/>
    </font>
    <font>
      <sz val="10"/>
      <color indexed="16"/>
      <name val="Arial"/>
      <family val="2"/>
    </font>
    <font>
      <b/>
      <sz val="10"/>
      <color indexed="16"/>
      <name val="Arial"/>
      <family val="2"/>
    </font>
    <font>
      <sz val="12"/>
      <color indexed="16"/>
      <name val="Arial"/>
      <family val="2"/>
    </font>
    <font>
      <u val="single"/>
      <sz val="10"/>
      <color indexed="12"/>
      <name val="Arial"/>
      <family val="2"/>
    </font>
    <font>
      <u val="single"/>
      <sz val="10"/>
      <color indexed="36"/>
      <name val="Arial"/>
      <family val="2"/>
    </font>
    <font>
      <b/>
      <sz val="11"/>
      <color indexed="63"/>
      <name val="Calibri"/>
      <family val="2"/>
    </font>
    <font>
      <b/>
      <vertAlign val="superscript"/>
      <sz val="11"/>
      <color indexed="63"/>
      <name val="Calibri"/>
      <family val="2"/>
    </font>
    <font>
      <sz val="9"/>
      <name val="Tahoma"/>
      <family val="2"/>
    </font>
    <font>
      <b/>
      <sz val="9"/>
      <name val="Tahoma"/>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8"/>
      <color indexed="62"/>
      <name val="Cambria"/>
      <family val="2"/>
    </font>
    <font>
      <sz val="11"/>
      <color indexed="10"/>
      <name val="Calibri"/>
      <family val="2"/>
    </font>
    <font>
      <sz val="14"/>
      <color indexed="63"/>
      <name val="Calibri"/>
      <family val="2"/>
    </font>
    <font>
      <sz val="10"/>
      <color indexed="10"/>
      <name val="Arial"/>
      <family val="2"/>
    </font>
    <font>
      <sz val="12"/>
      <color indexed="63"/>
      <name val="Arial"/>
      <family val="0"/>
    </font>
    <font>
      <b/>
      <sz val="12"/>
      <color indexed="63"/>
      <name val="Arial"/>
      <family val="0"/>
    </font>
    <font>
      <b/>
      <sz val="15.5"/>
      <color indexed="63"/>
      <name val="Arial"/>
      <family val="0"/>
    </font>
    <font>
      <sz val="10.1"/>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Calibri"/>
      <family val="2"/>
    </font>
    <font>
      <sz val="11"/>
      <color rgb="FF000000"/>
      <name val="Calibri"/>
      <family val="2"/>
    </font>
    <font>
      <b/>
      <sz val="11"/>
      <color rgb="FF000000"/>
      <name val="Calibri"/>
      <family val="2"/>
    </font>
    <font>
      <sz val="10"/>
      <color theme="8" tint="-0.4999699890613556"/>
      <name val="Arial"/>
      <family val="2"/>
    </font>
    <font>
      <sz val="10"/>
      <color rgb="FFFF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22"/>
        <bgColor indexed="64"/>
      </patternFill>
    </fill>
    <fill>
      <patternFill patternType="solid">
        <fgColor indexed="8"/>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rgb="FFFFFF00"/>
        <bgColor indexed="64"/>
      </patternFill>
    </fill>
    <fill>
      <patternFill patternType="solid">
        <fgColor indexed="43"/>
        <bgColor indexed="64"/>
      </patternFill>
    </fill>
    <fill>
      <patternFill patternType="gray0625">
        <fgColor indexed="22"/>
        <bgColor indexed="22"/>
      </patternFill>
    </fill>
    <fill>
      <patternFill patternType="solid">
        <fgColor indexed="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color indexed="9"/>
      </top>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style="dashed"/>
      <top style="thin"/>
      <bottom style="medium"/>
    </border>
    <border>
      <left style="medium">
        <color indexed="9"/>
      </left>
      <right style="medium"/>
      <top>
        <color indexed="63"/>
      </top>
      <bottom>
        <color indexed="63"/>
      </bottom>
    </border>
    <border>
      <left style="medium"/>
      <right style="dashed"/>
      <top style="medium"/>
      <bottom>
        <color indexed="63"/>
      </bottom>
    </border>
    <border>
      <left style="medium"/>
      <right>
        <color indexed="63"/>
      </right>
      <top>
        <color indexed="63"/>
      </top>
      <bottom style="thin"/>
    </border>
    <border>
      <left>
        <color indexed="63"/>
      </left>
      <right>
        <color indexed="63"/>
      </right>
      <top style="medium">
        <color indexed="9"/>
      </top>
      <bottom style="thin"/>
    </border>
    <border>
      <left>
        <color indexed="63"/>
      </left>
      <right>
        <color indexed="63"/>
      </right>
      <top style="thin"/>
      <bottom style="medium"/>
    </border>
    <border>
      <left style="medium"/>
      <right style="dashed"/>
      <top style="thin"/>
      <bottom style="thin"/>
    </border>
    <border>
      <left style="medium"/>
      <right style="dashed"/>
      <top>
        <color indexed="63"/>
      </top>
      <bottom style="medium"/>
    </border>
    <border>
      <left>
        <color indexed="63"/>
      </left>
      <right style="medium"/>
      <top>
        <color indexed="63"/>
      </top>
      <bottom style="thin"/>
    </border>
    <border>
      <left style="medium"/>
      <right style="medium">
        <color indexed="55"/>
      </right>
      <top>
        <color indexed="63"/>
      </top>
      <bottom>
        <color indexed="63"/>
      </bottom>
    </border>
    <border>
      <left style="medium"/>
      <right style="dashed"/>
      <top>
        <color indexed="63"/>
      </top>
      <bottom>
        <color indexed="63"/>
      </bottom>
    </border>
    <border>
      <left style="medium"/>
      <right>
        <color indexed="63"/>
      </right>
      <top style="medium"/>
      <bottom style="thin"/>
    </border>
    <border>
      <left>
        <color indexed="63"/>
      </left>
      <right>
        <color indexed="63"/>
      </right>
      <top style="medium"/>
      <bottom style="thin"/>
    </border>
    <border>
      <left style="dashed"/>
      <right>
        <color indexed="63"/>
      </right>
      <top style="medium">
        <color indexed="9"/>
      </top>
      <bottom style="thin"/>
    </border>
    <border>
      <left style="dashed"/>
      <right>
        <color indexed="63"/>
      </right>
      <top style="thin"/>
      <bottom style="thin"/>
    </border>
    <border>
      <left>
        <color indexed="63"/>
      </left>
      <right style="medium">
        <color indexed="23"/>
      </right>
      <top style="medium">
        <color indexed="9"/>
      </top>
      <bottom style="medium"/>
    </border>
    <border>
      <left style="medium">
        <color indexed="23"/>
      </left>
      <right style="medium"/>
      <top style="medium">
        <color indexed="9"/>
      </top>
      <bottom style="medium"/>
    </border>
    <border>
      <left style="medium">
        <color indexed="23"/>
      </left>
      <right style="medium"/>
      <top>
        <color indexed="63"/>
      </top>
      <bottom style="medium"/>
    </border>
    <border>
      <left style="medium"/>
      <right style="thin"/>
      <top>
        <color indexed="63"/>
      </top>
      <bottom style="medium"/>
    </border>
    <border>
      <left style="medium">
        <color indexed="9"/>
      </left>
      <right style="medium"/>
      <top style="medium">
        <color indexed="9"/>
      </top>
      <bottom style="medium"/>
    </border>
    <border>
      <left style="medium"/>
      <right style="dashed"/>
      <top>
        <color indexed="63"/>
      </top>
      <bottom style="thin"/>
    </border>
    <border>
      <left>
        <color indexed="63"/>
      </left>
      <right style="medium">
        <color indexed="23"/>
      </right>
      <top>
        <color indexed="63"/>
      </top>
      <bottom style="medium"/>
    </border>
    <border>
      <left style="medium"/>
      <right style="dotted"/>
      <top style="thin"/>
      <bottom>
        <color indexed="63"/>
      </bottom>
    </border>
    <border>
      <left>
        <color indexed="63"/>
      </left>
      <right>
        <color indexed="63"/>
      </right>
      <top style="medium"/>
      <bottom style="medium"/>
    </border>
    <border>
      <left style="medium"/>
      <right style="medium">
        <color indexed="23"/>
      </right>
      <top>
        <color indexed="63"/>
      </top>
      <bottom style="medium"/>
    </border>
    <border>
      <left style="medium"/>
      <right style="medium"/>
      <top style="medium"/>
      <bottom style="medium"/>
    </border>
    <border>
      <left style="medium">
        <color indexed="55"/>
      </left>
      <right style="thick">
        <color indexed="9"/>
      </right>
      <top style="medium">
        <color indexed="55"/>
      </top>
      <bottom style="medium">
        <color indexed="55"/>
      </bottom>
    </border>
    <border>
      <left style="medium">
        <color indexed="55"/>
      </left>
      <right style="thick">
        <color indexed="9"/>
      </right>
      <top style="medium">
        <color indexed="55"/>
      </top>
      <bottom style="medium">
        <color indexed="9"/>
      </bottom>
    </border>
    <border>
      <left style="medium">
        <color indexed="55"/>
      </left>
      <right style="medium">
        <color indexed="9"/>
      </right>
      <top style="medium">
        <color indexed="55"/>
      </top>
      <bottom>
        <color indexed="63"/>
      </bottom>
    </border>
    <border>
      <left style="medium"/>
      <right style="thick">
        <color indexed="9"/>
      </right>
      <top style="medium">
        <color indexed="55"/>
      </top>
      <bottom style="medium">
        <color indexed="9"/>
      </bottom>
    </border>
    <border>
      <left style="medium">
        <color indexed="55"/>
      </left>
      <right style="medium">
        <color indexed="9"/>
      </right>
      <top style="medium">
        <color indexed="55"/>
      </top>
      <bottom style="medium">
        <color indexed="9"/>
      </bottom>
    </border>
    <border>
      <left style="dashed"/>
      <right style="medium">
        <color indexed="23"/>
      </right>
      <top style="medium">
        <color indexed="9"/>
      </top>
      <bottom style="medium"/>
    </border>
    <border>
      <left>
        <color indexed="63"/>
      </left>
      <right style="medium">
        <color indexed="9"/>
      </right>
      <top style="medium">
        <color indexed="9"/>
      </top>
      <bottom style="medium"/>
    </border>
    <border>
      <left>
        <color indexed="63"/>
      </left>
      <right>
        <color indexed="63"/>
      </right>
      <top style="hair"/>
      <bottom style="hair"/>
    </border>
    <border>
      <left>
        <color indexed="63"/>
      </left>
      <right style="medium"/>
      <top style="hair"/>
      <bottom style="hair"/>
    </border>
    <border>
      <left style="medium"/>
      <right>
        <color indexed="63"/>
      </right>
      <top style="hair"/>
      <bottom style="hair"/>
    </border>
    <border>
      <left style="medium">
        <color indexed="55"/>
      </left>
      <right style="medium">
        <color indexed="55"/>
      </right>
      <top style="medium">
        <color indexed="55"/>
      </top>
      <bottom style="medium">
        <color indexed="9"/>
      </bottom>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color indexed="9"/>
      </bottom>
    </border>
    <border>
      <left style="medium"/>
      <right style="dotted"/>
      <top>
        <color indexed="63"/>
      </top>
      <bottom>
        <color indexed="63"/>
      </bottom>
    </border>
    <border>
      <left style="dotted"/>
      <right style="medium">
        <color indexed="23"/>
      </right>
      <top style="dotted">
        <color indexed="9"/>
      </top>
      <bottom style="medium"/>
    </border>
    <border>
      <left style="dotted"/>
      <right style="medium">
        <color indexed="23"/>
      </right>
      <top style="medium"/>
      <bottom style="medium"/>
    </border>
    <border>
      <left style="medium"/>
      <right>
        <color indexed="63"/>
      </right>
      <top style="thin"/>
      <bottom style="medium"/>
    </border>
    <border>
      <left style="thin"/>
      <right style="thin">
        <color indexed="9"/>
      </right>
      <top style="thin"/>
      <bottom style="medium"/>
    </border>
    <border>
      <left style="thin">
        <color indexed="9"/>
      </left>
      <right style="medium"/>
      <top style="thin">
        <color indexed="9"/>
      </top>
      <bottom style="medium"/>
    </border>
    <border>
      <left style="medium"/>
      <right style="thin"/>
      <top style="thin"/>
      <bottom style="thin"/>
    </border>
    <border>
      <left style="medium"/>
      <right style="thin"/>
      <top style="medium"/>
      <bottom style="thin"/>
    </border>
    <border>
      <left style="medium">
        <color indexed="55"/>
      </left>
      <right style="medium">
        <color indexed="9"/>
      </right>
      <top style="medium">
        <color indexed="55"/>
      </top>
      <bottom style="mediu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dashed"/>
      <right>
        <color indexed="63"/>
      </right>
      <top style="thin"/>
      <bottom style="medium">
        <color indexed="9"/>
      </bottom>
    </border>
    <border>
      <left style="medium"/>
      <right>
        <color indexed="63"/>
      </right>
      <top style="thin"/>
      <bottom>
        <color indexed="63"/>
      </bottom>
    </border>
    <border>
      <left>
        <color indexed="63"/>
      </left>
      <right>
        <color indexed="63"/>
      </right>
      <top style="thin"/>
      <bottom>
        <color indexed="63"/>
      </bottom>
    </border>
    <border>
      <left>
        <color indexed="63"/>
      </left>
      <right style="dashed"/>
      <top style="thin"/>
      <bottom>
        <color indexed="63"/>
      </bottom>
    </border>
    <border>
      <left>
        <color indexed="63"/>
      </left>
      <right>
        <color indexed="63"/>
      </right>
      <top>
        <color indexed="63"/>
      </top>
      <bottom style="thin"/>
    </border>
    <border>
      <left>
        <color indexed="63"/>
      </left>
      <right style="dash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46">
    <xf numFmtId="0" fontId="0" fillId="0" borderId="0" xfId="0" applyAlignment="1">
      <alignment/>
    </xf>
    <xf numFmtId="44" fontId="0" fillId="0" borderId="0" xfId="44" applyFont="1" applyAlignment="1">
      <alignment/>
    </xf>
    <xf numFmtId="0" fontId="2" fillId="0" borderId="0" xfId="0" applyFont="1" applyAlignment="1">
      <alignment/>
    </xf>
    <xf numFmtId="0" fontId="3" fillId="0" borderId="0" xfId="0" applyFont="1" applyAlignment="1">
      <alignment/>
    </xf>
    <xf numFmtId="0" fontId="0" fillId="0" borderId="0" xfId="0" applyFill="1" applyAlignment="1">
      <alignment/>
    </xf>
    <xf numFmtId="44" fontId="0" fillId="0" borderId="0" xfId="44" applyFont="1" applyFill="1" applyBorder="1" applyAlignment="1">
      <alignment/>
    </xf>
    <xf numFmtId="44" fontId="0" fillId="0" borderId="0" xfId="0" applyNumberFormat="1" applyAlignment="1">
      <alignment/>
    </xf>
    <xf numFmtId="0" fontId="0" fillId="0" borderId="0" xfId="0" applyBorder="1" applyAlignment="1">
      <alignment/>
    </xf>
    <xf numFmtId="44" fontId="0" fillId="0" borderId="0" xfId="44" applyFont="1" applyBorder="1" applyAlignment="1">
      <alignment/>
    </xf>
    <xf numFmtId="9" fontId="0" fillId="0" borderId="0" xfId="59" applyFont="1" applyAlignment="1">
      <alignment/>
    </xf>
    <xf numFmtId="166" fontId="0" fillId="0" borderId="0" xfId="0" applyNumberFormat="1" applyAlignment="1">
      <alignment/>
    </xf>
    <xf numFmtId="168" fontId="0" fillId="0" borderId="10" xfId="0" applyNumberFormat="1" applyBorder="1" applyAlignment="1">
      <alignment/>
    </xf>
    <xf numFmtId="44" fontId="0" fillId="0" borderId="11" xfId="0" applyNumberFormat="1" applyBorder="1" applyAlignment="1">
      <alignment/>
    </xf>
    <xf numFmtId="44" fontId="0" fillId="0" borderId="12" xfId="0" applyNumberFormat="1" applyBorder="1" applyAlignment="1">
      <alignment/>
    </xf>
    <xf numFmtId="166" fontId="0" fillId="0" borderId="12" xfId="0" applyNumberFormat="1" applyBorder="1" applyAlignment="1">
      <alignment/>
    </xf>
    <xf numFmtId="0" fontId="0" fillId="0" borderId="0" xfId="0" applyAlignment="1">
      <alignment horizontal="right"/>
    </xf>
    <xf numFmtId="166" fontId="0" fillId="0" borderId="0" xfId="44" applyNumberFormat="1" applyFont="1" applyAlignment="1">
      <alignment/>
    </xf>
    <xf numFmtId="43" fontId="0" fillId="0" borderId="0" xfId="0" applyNumberFormat="1" applyAlignment="1">
      <alignment/>
    </xf>
    <xf numFmtId="9" fontId="0" fillId="0" borderId="10" xfId="59" applyFont="1" applyBorder="1" applyAlignment="1">
      <alignment horizontal="right"/>
    </xf>
    <xf numFmtId="168" fontId="0" fillId="0" borderId="0" xfId="0" applyNumberFormat="1" applyAlignment="1">
      <alignment/>
    </xf>
    <xf numFmtId="168" fontId="0" fillId="0" borderId="11" xfId="0" applyNumberFormat="1" applyBorder="1" applyAlignment="1">
      <alignment/>
    </xf>
    <xf numFmtId="0" fontId="5" fillId="0" borderId="0" xfId="0" applyFont="1" applyAlignment="1">
      <alignment/>
    </xf>
    <xf numFmtId="0" fontId="3" fillId="0" borderId="0" xfId="0" applyFont="1" applyBorder="1" applyAlignment="1">
      <alignment/>
    </xf>
    <xf numFmtId="0" fontId="0" fillId="0" borderId="13" xfId="0" applyBorder="1" applyAlignment="1">
      <alignment/>
    </xf>
    <xf numFmtId="0" fontId="0" fillId="0" borderId="14" xfId="0" applyBorder="1" applyAlignment="1">
      <alignment/>
    </xf>
    <xf numFmtId="44" fontId="0" fillId="0" borderId="0" xfId="44" applyFont="1" applyFill="1" applyAlignment="1">
      <alignment/>
    </xf>
    <xf numFmtId="0" fontId="7" fillId="0" borderId="0" xfId="0" applyFont="1" applyAlignment="1">
      <alignment wrapText="1"/>
    </xf>
    <xf numFmtId="165" fontId="0" fillId="0" borderId="0" xfId="42" applyNumberFormat="1" applyFont="1" applyBorder="1" applyAlignment="1">
      <alignment/>
    </xf>
    <xf numFmtId="0" fontId="3" fillId="0" borderId="0" xfId="0" applyFont="1" applyBorder="1" applyAlignment="1">
      <alignment horizontal="left"/>
    </xf>
    <xf numFmtId="0" fontId="7" fillId="0" borderId="0" xfId="0" applyFont="1" applyBorder="1" applyAlignment="1">
      <alignment horizontal="left" wrapText="1"/>
    </xf>
    <xf numFmtId="0" fontId="9" fillId="0" borderId="0" xfId="0" applyFont="1" applyBorder="1" applyAlignment="1">
      <alignment/>
    </xf>
    <xf numFmtId="0" fontId="10" fillId="0" borderId="0" xfId="0" applyFont="1" applyAlignment="1">
      <alignment/>
    </xf>
    <xf numFmtId="0" fontId="10" fillId="0" borderId="0" xfId="0" applyFont="1" applyBorder="1" applyAlignment="1">
      <alignment/>
    </xf>
    <xf numFmtId="44" fontId="0" fillId="33" borderId="15" xfId="44" applyFont="1" applyFill="1" applyBorder="1" applyAlignment="1">
      <alignment/>
    </xf>
    <xf numFmtId="0" fontId="0" fillId="33" borderId="16" xfId="0" applyFill="1" applyBorder="1" applyAlignment="1">
      <alignment/>
    </xf>
    <xf numFmtId="44" fontId="0" fillId="33" borderId="16" xfId="44" applyFont="1" applyFill="1" applyBorder="1" applyAlignment="1">
      <alignment/>
    </xf>
    <xf numFmtId="166" fontId="0" fillId="33" borderId="16" xfId="44" applyNumberFormat="1" applyFont="1" applyFill="1" applyBorder="1" applyAlignment="1">
      <alignment/>
    </xf>
    <xf numFmtId="0" fontId="8" fillId="0" borderId="0" xfId="0" applyFont="1" applyBorder="1" applyAlignment="1">
      <alignment wrapText="1"/>
    </xf>
    <xf numFmtId="0" fontId="0" fillId="34" borderId="17" xfId="0" applyFill="1" applyBorder="1" applyAlignment="1">
      <alignment wrapText="1"/>
    </xf>
    <xf numFmtId="0" fontId="0" fillId="34" borderId="17" xfId="0" applyFont="1" applyFill="1" applyBorder="1" applyAlignment="1">
      <alignment/>
    </xf>
    <xf numFmtId="0" fontId="0" fillId="34" borderId="18" xfId="0" applyFill="1" applyBorder="1" applyAlignment="1">
      <alignment/>
    </xf>
    <xf numFmtId="0" fontId="0" fillId="34" borderId="16" xfId="0" applyFill="1" applyBorder="1" applyAlignment="1">
      <alignment/>
    </xf>
    <xf numFmtId="0" fontId="0" fillId="35" borderId="19" xfId="0" applyFill="1" applyBorder="1" applyAlignment="1">
      <alignment/>
    </xf>
    <xf numFmtId="44" fontId="0" fillId="35" borderId="20" xfId="44" applyFont="1" applyFill="1" applyBorder="1" applyAlignment="1">
      <alignment/>
    </xf>
    <xf numFmtId="0" fontId="0" fillId="35" borderId="13" xfId="0" applyFill="1" applyBorder="1" applyAlignment="1">
      <alignment/>
    </xf>
    <xf numFmtId="44" fontId="0" fillId="35" borderId="14" xfId="44" applyFont="1" applyFill="1" applyBorder="1" applyAlignment="1">
      <alignment/>
    </xf>
    <xf numFmtId="0" fontId="0" fillId="35" borderId="17" xfId="0" applyFill="1" applyBorder="1" applyAlignment="1">
      <alignment wrapText="1"/>
    </xf>
    <xf numFmtId="0" fontId="0" fillId="35" borderId="16"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5" borderId="18" xfId="0" applyFill="1" applyBorder="1" applyAlignment="1">
      <alignment/>
    </xf>
    <xf numFmtId="0" fontId="0" fillId="0" borderId="16" xfId="0" applyBorder="1" applyAlignment="1">
      <alignment/>
    </xf>
    <xf numFmtId="0" fontId="0" fillId="35" borderId="23" xfId="0" applyFill="1" applyBorder="1" applyAlignment="1">
      <alignment wrapText="1"/>
    </xf>
    <xf numFmtId="165" fontId="0" fillId="35" borderId="22" xfId="42" applyNumberFormat="1" applyFont="1" applyFill="1" applyBorder="1" applyAlignment="1">
      <alignment/>
    </xf>
    <xf numFmtId="0" fontId="4" fillId="34" borderId="24" xfId="0" applyFont="1" applyFill="1" applyBorder="1" applyAlignment="1">
      <alignment horizontal="left"/>
    </xf>
    <xf numFmtId="165" fontId="0" fillId="33" borderId="25" xfId="42" applyNumberFormat="1" applyFont="1" applyFill="1" applyBorder="1" applyAlignment="1">
      <alignment/>
    </xf>
    <xf numFmtId="0" fontId="0" fillId="34" borderId="23" xfId="0" applyFill="1" applyBorder="1" applyAlignment="1">
      <alignment wrapText="1"/>
    </xf>
    <xf numFmtId="0" fontId="0" fillId="34" borderId="22" xfId="0" applyFill="1" applyBorder="1" applyAlignment="1">
      <alignment wrapText="1"/>
    </xf>
    <xf numFmtId="0" fontId="0" fillId="34" borderId="18" xfId="0" applyFill="1" applyBorder="1" applyAlignment="1">
      <alignment wrapText="1"/>
    </xf>
    <xf numFmtId="0" fontId="0" fillId="35" borderId="26" xfId="0" applyFill="1" applyBorder="1" applyAlignment="1">
      <alignment wrapText="1"/>
    </xf>
    <xf numFmtId="165" fontId="0" fillId="35" borderId="18" xfId="42" applyNumberFormat="1" applyFont="1" applyFill="1" applyBorder="1" applyAlignment="1">
      <alignment/>
    </xf>
    <xf numFmtId="0" fontId="0" fillId="35" borderId="27" xfId="0" applyFill="1" applyBorder="1" applyAlignment="1">
      <alignment wrapText="1"/>
    </xf>
    <xf numFmtId="0" fontId="0" fillId="35" borderId="18" xfId="0" applyFill="1" applyBorder="1" applyAlignment="1">
      <alignment wrapText="1"/>
    </xf>
    <xf numFmtId="0" fontId="0" fillId="35" borderId="22" xfId="0" applyFill="1" applyBorder="1" applyAlignment="1">
      <alignment wrapText="1"/>
    </xf>
    <xf numFmtId="165" fontId="0" fillId="35" borderId="28" xfId="42" applyNumberFormat="1" applyFont="1" applyFill="1" applyBorder="1" applyAlignment="1">
      <alignment/>
    </xf>
    <xf numFmtId="43" fontId="0" fillId="35" borderId="29" xfId="42" applyFont="1" applyFill="1" applyBorder="1" applyAlignment="1">
      <alignment/>
    </xf>
    <xf numFmtId="0" fontId="0" fillId="35" borderId="30" xfId="0" applyFill="1" applyBorder="1" applyAlignment="1">
      <alignment wrapText="1"/>
    </xf>
    <xf numFmtId="0" fontId="2" fillId="35" borderId="31" xfId="0" applyFont="1" applyFill="1" applyBorder="1" applyAlignment="1">
      <alignment wrapText="1"/>
    </xf>
    <xf numFmtId="0" fontId="4" fillId="35" borderId="30" xfId="0" applyFont="1" applyFill="1" applyBorder="1" applyAlignment="1">
      <alignment horizontal="left" wrapText="1"/>
    </xf>
    <xf numFmtId="0" fontId="0" fillId="35" borderId="32" xfId="0" applyFill="1" applyBorder="1" applyAlignment="1">
      <alignment/>
    </xf>
    <xf numFmtId="0" fontId="0" fillId="34" borderId="33" xfId="0" applyFill="1" applyBorder="1" applyAlignment="1">
      <alignment wrapText="1"/>
    </xf>
    <xf numFmtId="0" fontId="0" fillId="35" borderId="34" xfId="0" applyFill="1" applyBorder="1" applyAlignment="1">
      <alignment wrapText="1"/>
    </xf>
    <xf numFmtId="0" fontId="0" fillId="35" borderId="13" xfId="0" applyFill="1" applyBorder="1" applyAlignment="1">
      <alignment wrapText="1"/>
    </xf>
    <xf numFmtId="0" fontId="0" fillId="35" borderId="21" xfId="0" applyFill="1" applyBorder="1" applyAlignment="1">
      <alignment wrapText="1"/>
    </xf>
    <xf numFmtId="0" fontId="0" fillId="35" borderId="14" xfId="0" applyFill="1" applyBorder="1" applyAlignment="1">
      <alignment wrapText="1"/>
    </xf>
    <xf numFmtId="0" fontId="0" fillId="35" borderId="35" xfId="0" applyFill="1" applyBorder="1" applyAlignment="1">
      <alignment/>
    </xf>
    <xf numFmtId="0" fontId="0" fillId="35" borderId="36" xfId="0" applyFill="1" applyBorder="1" applyAlignment="1">
      <alignment/>
    </xf>
    <xf numFmtId="0" fontId="0" fillId="35" borderId="23" xfId="0" applyFill="1" applyBorder="1" applyAlignment="1">
      <alignment/>
    </xf>
    <xf numFmtId="0" fontId="11" fillId="0" borderId="0" xfId="0" applyFont="1" applyBorder="1" applyAlignment="1">
      <alignment wrapText="1"/>
    </xf>
    <xf numFmtId="0" fontId="0" fillId="35" borderId="37" xfId="0" applyFill="1" applyBorder="1" applyAlignment="1">
      <alignment/>
    </xf>
    <xf numFmtId="165" fontId="0" fillId="35" borderId="38" xfId="42" applyNumberFormat="1" applyFont="1" applyFill="1" applyBorder="1" applyAlignment="1">
      <alignment/>
    </xf>
    <xf numFmtId="0" fontId="2" fillId="35" borderId="31" xfId="0" applyFont="1" applyFill="1" applyBorder="1" applyAlignment="1">
      <alignment/>
    </xf>
    <xf numFmtId="166" fontId="2" fillId="35" borderId="39" xfId="44" applyNumberFormat="1" applyFont="1" applyFill="1" applyBorder="1" applyAlignment="1">
      <alignment/>
    </xf>
    <xf numFmtId="0" fontId="0" fillId="35" borderId="40" xfId="0" applyFill="1" applyBorder="1" applyAlignment="1">
      <alignment/>
    </xf>
    <xf numFmtId="0" fontId="0" fillId="35" borderId="30" xfId="0" applyFill="1" applyBorder="1" applyAlignment="1">
      <alignment/>
    </xf>
    <xf numFmtId="0" fontId="0" fillId="0" borderId="0" xfId="0" applyFill="1" applyAlignment="1">
      <alignment horizontal="right"/>
    </xf>
    <xf numFmtId="166" fontId="0" fillId="0" borderId="0" xfId="44" applyNumberFormat="1" applyFont="1" applyFill="1" applyBorder="1" applyAlignment="1">
      <alignment/>
    </xf>
    <xf numFmtId="0" fontId="0" fillId="35" borderId="33" xfId="0" applyFill="1" applyBorder="1" applyAlignment="1">
      <alignment wrapText="1"/>
    </xf>
    <xf numFmtId="0" fontId="3" fillId="35" borderId="19" xfId="0" applyFont="1" applyFill="1" applyBorder="1" applyAlignment="1">
      <alignment horizontal="left" wrapText="1"/>
    </xf>
    <xf numFmtId="0" fontId="6" fillId="35" borderId="16" xfId="0" applyFont="1" applyFill="1" applyBorder="1" applyAlignment="1">
      <alignment wrapText="1"/>
    </xf>
    <xf numFmtId="0" fontId="0" fillId="35" borderId="41" xfId="0" applyFill="1" applyBorder="1" applyAlignment="1">
      <alignment/>
    </xf>
    <xf numFmtId="0" fontId="13" fillId="0" borderId="0" xfId="0" applyFont="1" applyBorder="1" applyAlignment="1">
      <alignment horizontal="left" wrapText="1" indent="1"/>
    </xf>
    <xf numFmtId="0" fontId="12" fillId="0" borderId="0" xfId="0" applyFont="1" applyBorder="1" applyAlignment="1">
      <alignment horizontal="left" wrapText="1" indent="1"/>
    </xf>
    <xf numFmtId="44" fontId="4" fillId="0" borderId="0" xfId="44" applyFont="1" applyFill="1" applyBorder="1" applyAlignment="1">
      <alignment horizontal="left"/>
    </xf>
    <xf numFmtId="0" fontId="13" fillId="0" borderId="0" xfId="0" applyFont="1" applyAlignment="1">
      <alignment horizontal="left" wrapText="1"/>
    </xf>
    <xf numFmtId="0" fontId="0" fillId="35" borderId="33" xfId="0" applyFill="1" applyBorder="1" applyAlignment="1">
      <alignment/>
    </xf>
    <xf numFmtId="0" fontId="0" fillId="0" borderId="0" xfId="0" applyFill="1" applyBorder="1" applyAlignment="1">
      <alignment wrapText="1"/>
    </xf>
    <xf numFmtId="44" fontId="0" fillId="33" borderId="0" xfId="44" applyFont="1" applyFill="1" applyBorder="1" applyAlignment="1">
      <alignment/>
    </xf>
    <xf numFmtId="0" fontId="0" fillId="0" borderId="42" xfId="0" applyFill="1" applyBorder="1" applyAlignment="1">
      <alignment wrapText="1"/>
    </xf>
    <xf numFmtId="0" fontId="0" fillId="0" borderId="18" xfId="0" applyBorder="1" applyAlignment="1">
      <alignment/>
    </xf>
    <xf numFmtId="0" fontId="0" fillId="0" borderId="21" xfId="0" applyBorder="1" applyAlignment="1">
      <alignment/>
    </xf>
    <xf numFmtId="166" fontId="0" fillId="34" borderId="43" xfId="0" applyNumberFormat="1" applyFill="1" applyBorder="1" applyAlignment="1">
      <alignment/>
    </xf>
    <xf numFmtId="0" fontId="3" fillId="35" borderId="44" xfId="0" applyFont="1" applyFill="1" applyBorder="1" applyAlignment="1">
      <alignment horizontal="left" wrapText="1"/>
    </xf>
    <xf numFmtId="166" fontId="2" fillId="35" borderId="45" xfId="44" applyNumberFormat="1" applyFont="1" applyFill="1" applyBorder="1" applyAlignment="1">
      <alignment/>
    </xf>
    <xf numFmtId="0" fontId="3" fillId="35" borderId="46" xfId="0" applyFont="1" applyFill="1" applyBorder="1" applyAlignment="1">
      <alignment horizontal="left" wrapText="1"/>
    </xf>
    <xf numFmtId="0" fontId="3" fillId="34" borderId="23" xfId="0" applyFont="1" applyFill="1" applyBorder="1" applyAlignment="1">
      <alignment/>
    </xf>
    <xf numFmtId="0" fontId="0" fillId="34" borderId="13" xfId="0" applyFill="1" applyBorder="1" applyAlignment="1">
      <alignment horizontal="right"/>
    </xf>
    <xf numFmtId="0" fontId="0" fillId="34" borderId="47" xfId="0" applyFill="1" applyBorder="1" applyAlignment="1">
      <alignment horizontal="right"/>
    </xf>
    <xf numFmtId="0" fontId="0" fillId="34" borderId="22" xfId="0" applyFill="1" applyBorder="1" applyAlignment="1">
      <alignment/>
    </xf>
    <xf numFmtId="0" fontId="0" fillId="36" borderId="18" xfId="0" applyFill="1" applyBorder="1" applyAlignment="1">
      <alignment wrapText="1"/>
    </xf>
    <xf numFmtId="166" fontId="0" fillId="36" borderId="0" xfId="0" applyNumberFormat="1" applyFill="1" applyBorder="1" applyAlignment="1">
      <alignment/>
    </xf>
    <xf numFmtId="44" fontId="0" fillId="36" borderId="0" xfId="44" applyFont="1" applyFill="1" applyBorder="1" applyAlignment="1">
      <alignment/>
    </xf>
    <xf numFmtId="0" fontId="0" fillId="36" borderId="21" xfId="0" applyFill="1" applyBorder="1" applyAlignment="1">
      <alignment wrapText="1"/>
    </xf>
    <xf numFmtId="166" fontId="2" fillId="35" borderId="48" xfId="44" applyNumberFormat="1" applyFont="1" applyFill="1" applyBorder="1" applyAlignment="1">
      <alignment/>
    </xf>
    <xf numFmtId="0" fontId="0" fillId="37" borderId="49" xfId="0" applyFill="1" applyBorder="1" applyAlignment="1" applyProtection="1">
      <alignment/>
      <protection locked="0"/>
    </xf>
    <xf numFmtId="0" fontId="0" fillId="37" borderId="50" xfId="44" applyNumberFormat="1" applyFont="1" applyFill="1" applyBorder="1" applyAlignment="1" applyProtection="1">
      <alignment/>
      <protection locked="0"/>
    </xf>
    <xf numFmtId="0" fontId="0" fillId="37" borderId="51" xfId="44" applyNumberFormat="1" applyFont="1" applyFill="1" applyBorder="1" applyAlignment="1" applyProtection="1">
      <alignment/>
      <protection locked="0"/>
    </xf>
    <xf numFmtId="165" fontId="0" fillId="37" borderId="52" xfId="44" applyNumberFormat="1" applyFont="1" applyFill="1" applyBorder="1" applyAlignment="1" applyProtection="1">
      <alignment/>
      <protection locked="0"/>
    </xf>
    <xf numFmtId="9" fontId="0" fillId="37" borderId="53" xfId="44" applyNumberFormat="1" applyFont="1" applyFill="1" applyBorder="1" applyAlignment="1" applyProtection="1">
      <alignment/>
      <protection locked="0"/>
    </xf>
    <xf numFmtId="166" fontId="0" fillId="37" borderId="18" xfId="44" applyNumberFormat="1" applyFont="1" applyFill="1" applyBorder="1" applyAlignment="1" applyProtection="1">
      <alignment/>
      <protection locked="0"/>
    </xf>
    <xf numFmtId="44" fontId="0" fillId="37" borderId="0" xfId="44" applyFont="1" applyFill="1" applyBorder="1" applyAlignment="1" applyProtection="1">
      <alignment/>
      <protection locked="0"/>
    </xf>
    <xf numFmtId="166" fontId="0" fillId="37" borderId="16" xfId="44" applyNumberFormat="1" applyFont="1" applyFill="1" applyBorder="1" applyAlignment="1" applyProtection="1">
      <alignment/>
      <protection locked="0"/>
    </xf>
    <xf numFmtId="178" fontId="0" fillId="37" borderId="52" xfId="44" applyNumberFormat="1" applyFont="1" applyFill="1" applyBorder="1" applyAlignment="1" applyProtection="1">
      <alignment/>
      <protection locked="0"/>
    </xf>
    <xf numFmtId="178" fontId="0" fillId="37" borderId="54" xfId="44" applyNumberFormat="1" applyFont="1" applyFill="1" applyBorder="1" applyAlignment="1" applyProtection="1">
      <alignment/>
      <protection locked="0"/>
    </xf>
    <xf numFmtId="178" fontId="2" fillId="34" borderId="39" xfId="44" applyNumberFormat="1" applyFont="1" applyFill="1" applyBorder="1" applyAlignment="1">
      <alignment/>
    </xf>
    <xf numFmtId="7" fontId="0" fillId="37" borderId="51" xfId="44" applyNumberFormat="1" applyFont="1" applyFill="1" applyBorder="1" applyAlignment="1" applyProtection="1">
      <alignment/>
      <protection locked="0"/>
    </xf>
    <xf numFmtId="7" fontId="0" fillId="35" borderId="38" xfId="0" applyNumberFormat="1" applyFill="1" applyBorder="1" applyAlignment="1">
      <alignment/>
    </xf>
    <xf numFmtId="7" fontId="2" fillId="35" borderId="39" xfId="44" applyNumberFormat="1" applyFont="1" applyFill="1" applyBorder="1" applyAlignment="1">
      <alignment/>
    </xf>
    <xf numFmtId="7" fontId="0" fillId="35" borderId="0" xfId="44" applyNumberFormat="1" applyFont="1" applyFill="1" applyBorder="1" applyAlignment="1">
      <alignment/>
    </xf>
    <xf numFmtId="7" fontId="2" fillId="35" borderId="55" xfId="44" applyNumberFormat="1" applyFont="1" applyFill="1" applyBorder="1" applyAlignment="1">
      <alignment/>
    </xf>
    <xf numFmtId="178" fontId="2" fillId="34" borderId="56" xfId="44" applyNumberFormat="1" applyFont="1" applyFill="1" applyBorder="1" applyAlignment="1">
      <alignment/>
    </xf>
    <xf numFmtId="178" fontId="0" fillId="37" borderId="51" xfId="44" applyNumberFormat="1" applyFont="1" applyFill="1" applyBorder="1" applyAlignment="1" applyProtection="1">
      <alignment/>
      <protection locked="0"/>
    </xf>
    <xf numFmtId="44" fontId="0" fillId="0" borderId="57" xfId="44" applyFont="1" applyBorder="1" applyAlignment="1">
      <alignment/>
    </xf>
    <xf numFmtId="44" fontId="0" fillId="0" borderId="58" xfId="44" applyFont="1" applyBorder="1" applyAlignment="1">
      <alignment/>
    </xf>
    <xf numFmtId="0" fontId="0" fillId="0" borderId="57" xfId="0" applyBorder="1" applyAlignment="1">
      <alignment/>
    </xf>
    <xf numFmtId="0" fontId="0" fillId="0" borderId="58" xfId="0" applyBorder="1" applyAlignment="1">
      <alignment/>
    </xf>
    <xf numFmtId="37" fontId="0" fillId="37" borderId="51" xfId="44" applyNumberFormat="1" applyFont="1" applyFill="1" applyBorder="1" applyAlignment="1" applyProtection="1">
      <alignment/>
      <protection locked="0"/>
    </xf>
    <xf numFmtId="0" fontId="13" fillId="0" borderId="58" xfId="0" applyFont="1" applyBorder="1" applyAlignment="1">
      <alignment wrapText="1"/>
    </xf>
    <xf numFmtId="0" fontId="0" fillId="0" borderId="59" xfId="0" applyBorder="1" applyAlignment="1">
      <alignment/>
    </xf>
    <xf numFmtId="0" fontId="13" fillId="0" borderId="57" xfId="0" applyFont="1" applyBorder="1" applyAlignment="1">
      <alignment horizontal="left" wrapText="1"/>
    </xf>
    <xf numFmtId="7" fontId="0" fillId="37" borderId="60" xfId="44" applyNumberFormat="1" applyFont="1" applyFill="1" applyBorder="1" applyAlignment="1" applyProtection="1">
      <alignment/>
      <protection locked="0"/>
    </xf>
    <xf numFmtId="7" fontId="0" fillId="0" borderId="0" xfId="0" applyNumberFormat="1" applyAlignment="1">
      <alignment/>
    </xf>
    <xf numFmtId="7" fontId="0" fillId="0" borderId="0" xfId="0" applyNumberFormat="1" applyFont="1" applyAlignment="1">
      <alignment/>
    </xf>
    <xf numFmtId="0" fontId="0" fillId="34" borderId="35" xfId="0" applyFill="1" applyBorder="1" applyAlignment="1">
      <alignment/>
    </xf>
    <xf numFmtId="0" fontId="10" fillId="37" borderId="61" xfId="0" applyFont="1" applyFill="1" applyBorder="1" applyAlignment="1">
      <alignment horizontal="right"/>
    </xf>
    <xf numFmtId="0" fontId="13" fillId="0" borderId="0" xfId="0" applyFont="1" applyBorder="1" applyAlignment="1">
      <alignment wrapText="1"/>
    </xf>
    <xf numFmtId="0" fontId="0" fillId="37" borderId="62" xfId="0" applyFill="1" applyBorder="1" applyAlignment="1" applyProtection="1">
      <alignment/>
      <protection locked="0"/>
    </xf>
    <xf numFmtId="0" fontId="0" fillId="37" borderId="63" xfId="0" applyFill="1" applyBorder="1" applyAlignment="1" applyProtection="1">
      <alignment/>
      <protection locked="0"/>
    </xf>
    <xf numFmtId="178" fontId="0" fillId="37" borderId="62" xfId="44" applyNumberFormat="1" applyFont="1" applyFill="1" applyBorder="1" applyAlignment="1" applyProtection="1">
      <alignment/>
      <protection locked="0"/>
    </xf>
    <xf numFmtId="178" fontId="0" fillId="37" borderId="63" xfId="44" applyNumberFormat="1" applyFont="1" applyFill="1" applyBorder="1" applyAlignment="1" applyProtection="1">
      <alignment/>
      <protection locked="0"/>
    </xf>
    <xf numFmtId="178" fontId="0" fillId="37" borderId="64" xfId="44" applyNumberFormat="1" applyFont="1" applyFill="1" applyBorder="1" applyAlignment="1" applyProtection="1">
      <alignment/>
      <protection locked="0"/>
    </xf>
    <xf numFmtId="7" fontId="0" fillId="37" borderId="62" xfId="44" applyNumberFormat="1" applyFont="1" applyFill="1" applyBorder="1" applyAlignment="1" applyProtection="1">
      <alignment/>
      <protection locked="0"/>
    </xf>
    <xf numFmtId="7" fontId="0" fillId="37" borderId="63" xfId="44" applyNumberFormat="1" applyFont="1" applyFill="1" applyBorder="1" applyAlignment="1" applyProtection="1">
      <alignment/>
      <protection locked="0"/>
    </xf>
    <xf numFmtId="7" fontId="0" fillId="37" borderId="64" xfId="44" applyNumberFormat="1" applyFont="1" applyFill="1" applyBorder="1" applyAlignment="1" applyProtection="1">
      <alignment/>
      <protection locked="0"/>
    </xf>
    <xf numFmtId="165" fontId="0" fillId="37" borderId="0" xfId="42" applyNumberFormat="1" applyFont="1" applyFill="1" applyBorder="1" applyAlignment="1">
      <alignment/>
    </xf>
    <xf numFmtId="0" fontId="0" fillId="34" borderId="33" xfId="0" applyFill="1" applyBorder="1" applyAlignment="1">
      <alignment/>
    </xf>
    <xf numFmtId="0" fontId="0" fillId="34" borderId="23" xfId="0" applyFill="1" applyBorder="1" applyAlignment="1">
      <alignment/>
    </xf>
    <xf numFmtId="0" fontId="3" fillId="34" borderId="65" xfId="0" applyFont="1" applyFill="1" applyBorder="1" applyAlignment="1">
      <alignment horizontal="right"/>
    </xf>
    <xf numFmtId="0" fontId="3" fillId="34" borderId="65" xfId="0" applyFont="1" applyFill="1" applyBorder="1" applyAlignment="1">
      <alignment horizontal="right" wrapText="1"/>
    </xf>
    <xf numFmtId="7" fontId="2" fillId="34" borderId="66" xfId="0" applyNumberFormat="1" applyFont="1" applyFill="1" applyBorder="1" applyAlignment="1">
      <alignment/>
    </xf>
    <xf numFmtId="7" fontId="2" fillId="34" borderId="67" xfId="44" applyNumberFormat="1" applyFont="1" applyFill="1" applyBorder="1" applyAlignment="1">
      <alignment/>
    </xf>
    <xf numFmtId="0" fontId="0" fillId="34" borderId="0" xfId="0" applyFill="1" applyBorder="1" applyAlignment="1">
      <alignment wrapText="1"/>
    </xf>
    <xf numFmtId="0" fontId="0" fillId="34" borderId="19" xfId="0" applyFill="1" applyBorder="1" applyAlignment="1">
      <alignment wrapText="1"/>
    </xf>
    <xf numFmtId="0" fontId="0" fillId="34" borderId="68" xfId="0" applyFill="1" applyBorder="1" applyAlignment="1">
      <alignment wrapText="1"/>
    </xf>
    <xf numFmtId="0" fontId="0" fillId="37" borderId="69" xfId="0" applyFill="1" applyBorder="1" applyAlignment="1">
      <alignment/>
    </xf>
    <xf numFmtId="0" fontId="0" fillId="34" borderId="16" xfId="0" applyFill="1" applyBorder="1" applyAlignment="1">
      <alignment wrapText="1"/>
    </xf>
    <xf numFmtId="0" fontId="0" fillId="0" borderId="70" xfId="0" applyBorder="1" applyAlignment="1">
      <alignment/>
    </xf>
    <xf numFmtId="7" fontId="0" fillId="0" borderId="0" xfId="0" applyNumberFormat="1" applyBorder="1" applyAlignment="1">
      <alignment/>
    </xf>
    <xf numFmtId="0" fontId="0" fillId="38" borderId="71" xfId="0" applyFill="1" applyBorder="1" applyAlignment="1" applyProtection="1">
      <alignment/>
      <protection locked="0"/>
    </xf>
    <xf numFmtId="0" fontId="0" fillId="38" borderId="72" xfId="0" applyFill="1" applyBorder="1" applyAlignment="1" applyProtection="1">
      <alignment wrapText="1"/>
      <protection locked="0"/>
    </xf>
    <xf numFmtId="0" fontId="0" fillId="38" borderId="71" xfId="0" applyFill="1" applyBorder="1" applyAlignment="1" applyProtection="1">
      <alignment wrapText="1"/>
      <protection locked="0"/>
    </xf>
    <xf numFmtId="0" fontId="0" fillId="38" borderId="17" xfId="0" applyFill="1" applyBorder="1" applyAlignment="1" applyProtection="1">
      <alignment wrapText="1"/>
      <protection locked="0"/>
    </xf>
    <xf numFmtId="0" fontId="4" fillId="0" borderId="14" xfId="0" applyFont="1" applyBorder="1" applyAlignment="1">
      <alignment wrapText="1"/>
    </xf>
    <xf numFmtId="0" fontId="4"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165" fontId="0" fillId="37" borderId="73" xfId="42" applyNumberFormat="1" applyFont="1" applyFill="1" applyBorder="1" applyAlignment="1" applyProtection="1">
      <alignment/>
      <protection locked="0"/>
    </xf>
    <xf numFmtId="0" fontId="0" fillId="34" borderId="21" xfId="0" applyFill="1" applyBorder="1" applyAlignment="1">
      <alignment/>
    </xf>
    <xf numFmtId="44" fontId="0" fillId="33" borderId="21" xfId="44" applyFont="1" applyFill="1" applyBorder="1" applyAlignment="1">
      <alignment/>
    </xf>
    <xf numFmtId="0" fontId="60" fillId="0" borderId="0" xfId="0" applyFont="1" applyAlignment="1">
      <alignment/>
    </xf>
    <xf numFmtId="0" fontId="60" fillId="0" borderId="0" xfId="0" applyFont="1" applyAlignment="1">
      <alignment horizontal="center"/>
    </xf>
    <xf numFmtId="0" fontId="61" fillId="0" borderId="0" xfId="0" applyFont="1" applyAlignment="1">
      <alignment/>
    </xf>
    <xf numFmtId="0" fontId="61" fillId="0" borderId="0" xfId="0" applyFont="1" applyAlignment="1">
      <alignment horizontal="center"/>
    </xf>
    <xf numFmtId="14" fontId="61" fillId="0" borderId="0" xfId="0" applyNumberFormat="1" applyFont="1" applyAlignment="1">
      <alignment horizontal="left"/>
    </xf>
    <xf numFmtId="0" fontId="62" fillId="0" borderId="61" xfId="0" applyFont="1" applyBorder="1" applyAlignment="1">
      <alignment/>
    </xf>
    <xf numFmtId="0" fontId="62" fillId="0" borderId="74" xfId="0" applyFont="1" applyBorder="1" applyAlignment="1">
      <alignment horizontal="center" wrapText="1"/>
    </xf>
    <xf numFmtId="0" fontId="62" fillId="0" borderId="0" xfId="0" applyFont="1" applyAlignment="1">
      <alignment/>
    </xf>
    <xf numFmtId="0" fontId="61" fillId="0" borderId="75" xfId="0" applyFont="1" applyBorder="1" applyAlignment="1">
      <alignment/>
    </xf>
    <xf numFmtId="0" fontId="61" fillId="0" borderId="76" xfId="0" applyFont="1" applyBorder="1" applyAlignment="1">
      <alignment horizontal="center"/>
    </xf>
    <xf numFmtId="168" fontId="61" fillId="0" borderId="76" xfId="0" applyNumberFormat="1" applyFont="1" applyBorder="1" applyAlignment="1">
      <alignment horizontal="center"/>
    </xf>
    <xf numFmtId="3" fontId="61" fillId="0" borderId="76" xfId="0" applyNumberFormat="1" applyFont="1" applyBorder="1" applyAlignment="1">
      <alignment horizontal="center"/>
    </xf>
    <xf numFmtId="0" fontId="61" fillId="39" borderId="76" xfId="0" applyFont="1" applyFill="1" applyBorder="1" applyAlignment="1">
      <alignment horizontal="center"/>
    </xf>
    <xf numFmtId="1" fontId="0" fillId="0" borderId="0" xfId="0" applyNumberFormat="1" applyAlignment="1">
      <alignment/>
    </xf>
    <xf numFmtId="0" fontId="0" fillId="0" borderId="0" xfId="0" applyAlignment="1">
      <alignment horizontal="left"/>
    </xf>
    <xf numFmtId="0" fontId="4" fillId="0" borderId="61" xfId="0" applyFont="1" applyBorder="1" applyAlignment="1">
      <alignment horizontal="right" wrapText="1"/>
    </xf>
    <xf numFmtId="168" fontId="0" fillId="0" borderId="61" xfId="0" applyNumberFormat="1" applyBorder="1" applyAlignment="1">
      <alignment/>
    </xf>
    <xf numFmtId="0" fontId="0" fillId="0" borderId="61" xfId="0" applyBorder="1" applyAlignment="1">
      <alignment/>
    </xf>
    <xf numFmtId="1" fontId="0" fillId="0" borderId="61" xfId="0" applyNumberFormat="1" applyBorder="1" applyAlignment="1">
      <alignment/>
    </xf>
    <xf numFmtId="0" fontId="0" fillId="35" borderId="0" xfId="0" applyFill="1" applyBorder="1" applyAlignment="1">
      <alignment/>
    </xf>
    <xf numFmtId="9" fontId="2" fillId="35" borderId="0" xfId="59" applyFont="1" applyFill="1" applyBorder="1" applyAlignment="1">
      <alignment/>
    </xf>
    <xf numFmtId="7" fontId="0" fillId="40" borderId="37" xfId="44" applyNumberFormat="1" applyFont="1" applyFill="1" applyBorder="1" applyAlignment="1">
      <alignment wrapText="1"/>
    </xf>
    <xf numFmtId="0" fontId="0" fillId="35" borderId="16" xfId="0" applyFill="1" applyBorder="1" applyAlignment="1">
      <alignment wrapText="1"/>
    </xf>
    <xf numFmtId="37" fontId="0" fillId="41" borderId="38" xfId="44" applyNumberFormat="1" applyFont="1" applyFill="1" applyBorder="1" applyAlignment="1">
      <alignment wrapText="1"/>
    </xf>
    <xf numFmtId="37" fontId="0" fillId="42" borderId="38" xfId="44" applyNumberFormat="1" applyFont="1" applyFill="1" applyBorder="1" applyAlignment="1">
      <alignment wrapText="1"/>
    </xf>
    <xf numFmtId="7" fontId="0" fillId="41" borderId="77" xfId="44" applyNumberFormat="1" applyFont="1" applyFill="1" applyBorder="1" applyAlignment="1">
      <alignment wrapText="1"/>
    </xf>
    <xf numFmtId="7" fontId="0" fillId="42" borderId="77" xfId="44" applyNumberFormat="1" applyFont="1" applyFill="1" applyBorder="1" applyAlignment="1">
      <alignment wrapText="1"/>
    </xf>
    <xf numFmtId="165" fontId="0" fillId="41" borderId="38" xfId="42" applyNumberFormat="1" applyFont="1" applyFill="1" applyBorder="1" applyAlignment="1">
      <alignment wrapText="1"/>
    </xf>
    <xf numFmtId="0" fontId="0" fillId="0" borderId="57" xfId="0" applyBorder="1" applyAlignment="1">
      <alignment wrapText="1"/>
    </xf>
    <xf numFmtId="0" fontId="0" fillId="0" borderId="58" xfId="0" applyBorder="1" applyAlignment="1">
      <alignment wrapText="1"/>
    </xf>
    <xf numFmtId="165" fontId="0" fillId="42" borderId="38" xfId="42" applyNumberFormat="1" applyFont="1" applyFill="1" applyBorder="1" applyAlignment="1">
      <alignment wrapText="1"/>
    </xf>
    <xf numFmtId="0" fontId="2" fillId="34" borderId="17" xfId="0" applyFont="1" applyFill="1" applyBorder="1" applyAlignment="1">
      <alignment wrapText="1"/>
    </xf>
    <xf numFmtId="7" fontId="2" fillId="34" borderId="39" xfId="44" applyNumberFormat="1" applyFont="1" applyFill="1" applyBorder="1" applyAlignment="1">
      <alignment wrapText="1"/>
    </xf>
    <xf numFmtId="0" fontId="2" fillId="35" borderId="17" xfId="0" applyFont="1" applyFill="1" applyBorder="1" applyAlignment="1">
      <alignment wrapText="1"/>
    </xf>
    <xf numFmtId="7" fontId="2" fillId="35" borderId="39" xfId="44" applyNumberFormat="1" applyFont="1" applyFill="1" applyBorder="1" applyAlignment="1">
      <alignment wrapText="1"/>
    </xf>
    <xf numFmtId="0" fontId="63" fillId="0" borderId="0" xfId="0" applyFont="1" applyAlignment="1">
      <alignment wrapText="1"/>
    </xf>
    <xf numFmtId="7" fontId="0" fillId="37" borderId="14" xfId="44" applyNumberFormat="1" applyFont="1" applyFill="1" applyBorder="1" applyAlignment="1" applyProtection="1">
      <alignment horizontal="right"/>
      <protection locked="0"/>
    </xf>
    <xf numFmtId="0" fontId="63" fillId="0" borderId="0" xfId="0" applyFont="1" applyBorder="1" applyAlignment="1">
      <alignment wrapText="1"/>
    </xf>
    <xf numFmtId="0" fontId="64" fillId="0" borderId="19" xfId="0" applyFont="1" applyBorder="1" applyAlignment="1">
      <alignment wrapText="1"/>
    </xf>
    <xf numFmtId="0" fontId="64" fillId="0" borderId="0" xfId="0" applyFont="1" applyBorder="1" applyAlignment="1">
      <alignment wrapText="1"/>
    </xf>
    <xf numFmtId="0" fontId="64" fillId="0" borderId="0" xfId="0" applyFont="1" applyAlignment="1">
      <alignment wrapText="1"/>
    </xf>
    <xf numFmtId="0" fontId="13" fillId="0" borderId="57" xfId="0" applyFont="1" applyBorder="1" applyAlignment="1">
      <alignment horizontal="left" wrapText="1"/>
    </xf>
    <xf numFmtId="0" fontId="13" fillId="0" borderId="0" xfId="0" applyFont="1" applyBorder="1" applyAlignment="1">
      <alignment horizontal="left" wrapText="1"/>
    </xf>
    <xf numFmtId="0" fontId="10" fillId="0" borderId="0" xfId="0" applyFont="1" applyAlignment="1">
      <alignment horizontal="center"/>
    </xf>
    <xf numFmtId="0" fontId="0" fillId="0" borderId="0" xfId="0" applyNumberFormat="1" applyAlignment="1">
      <alignment wrapText="1"/>
    </xf>
    <xf numFmtId="0" fontId="0" fillId="0" borderId="0" xfId="0" applyFont="1" applyAlignment="1">
      <alignment wrapText="1"/>
    </xf>
    <xf numFmtId="0" fontId="12" fillId="0" borderId="0" xfId="0" applyFont="1" applyBorder="1" applyAlignment="1">
      <alignment horizontal="left" wrapText="1"/>
    </xf>
    <xf numFmtId="0" fontId="10" fillId="34" borderId="27" xfId="0" applyFont="1" applyFill="1" applyBorder="1" applyAlignment="1">
      <alignment horizontal="center"/>
    </xf>
    <xf numFmtId="0" fontId="10" fillId="34" borderId="0" xfId="0" applyFont="1" applyFill="1" applyBorder="1" applyAlignment="1">
      <alignment horizontal="center"/>
    </xf>
    <xf numFmtId="0" fontId="3" fillId="35" borderId="78" xfId="0" applyFont="1" applyFill="1" applyBorder="1" applyAlignment="1">
      <alignment horizontal="left" wrapText="1"/>
    </xf>
    <xf numFmtId="0" fontId="3" fillId="35" borderId="79" xfId="0" applyFont="1" applyFill="1" applyBorder="1" applyAlignment="1">
      <alignment horizontal="left" wrapText="1"/>
    </xf>
    <xf numFmtId="0" fontId="3" fillId="35" borderId="80" xfId="0" applyFont="1" applyFill="1" applyBorder="1" applyAlignment="1">
      <alignment horizontal="left" wrapText="1"/>
    </xf>
    <xf numFmtId="0" fontId="3" fillId="35" borderId="27" xfId="0" applyFont="1" applyFill="1" applyBorder="1" applyAlignment="1">
      <alignment horizontal="left" wrapText="1"/>
    </xf>
    <xf numFmtId="0" fontId="3" fillId="35" borderId="81" xfId="0" applyFont="1" applyFill="1" applyBorder="1" applyAlignment="1">
      <alignment horizontal="left" wrapText="1"/>
    </xf>
    <xf numFmtId="0" fontId="3" fillId="35" borderId="82" xfId="0" applyFont="1" applyFill="1" applyBorder="1" applyAlignment="1">
      <alignment horizontal="left" wrapText="1"/>
    </xf>
    <xf numFmtId="0" fontId="10" fillId="35" borderId="23" xfId="0" applyFont="1" applyFill="1" applyBorder="1" applyAlignment="1">
      <alignment horizontal="center"/>
    </xf>
    <xf numFmtId="0" fontId="10" fillId="35" borderId="22" xfId="0" applyFont="1" applyFill="1" applyBorder="1" applyAlignment="1">
      <alignment horizontal="center"/>
    </xf>
    <xf numFmtId="0" fontId="10" fillId="35" borderId="18" xfId="0" applyFont="1" applyFill="1" applyBorder="1" applyAlignment="1">
      <alignment horizontal="center"/>
    </xf>
    <xf numFmtId="0" fontId="3" fillId="35" borderId="19" xfId="0" applyFont="1" applyFill="1" applyBorder="1" applyAlignment="1">
      <alignment horizontal="center"/>
    </xf>
    <xf numFmtId="0" fontId="3" fillId="35" borderId="0" xfId="0" applyFont="1" applyFill="1" applyBorder="1" applyAlignment="1">
      <alignment horizontal="center"/>
    </xf>
    <xf numFmtId="0" fontId="3" fillId="35" borderId="16" xfId="0" applyFont="1" applyFill="1" applyBorder="1" applyAlignment="1">
      <alignment horizontal="center"/>
    </xf>
    <xf numFmtId="0" fontId="10" fillId="34" borderId="23" xfId="0" applyFont="1" applyFill="1" applyBorder="1" applyAlignment="1">
      <alignment horizontal="center"/>
    </xf>
    <xf numFmtId="0" fontId="10" fillId="34" borderId="22" xfId="0" applyFont="1" applyFill="1" applyBorder="1" applyAlignment="1">
      <alignment horizontal="center"/>
    </xf>
    <xf numFmtId="0" fontId="14" fillId="0" borderId="57" xfId="0" applyFont="1" applyBorder="1" applyAlignment="1">
      <alignment wrapText="1"/>
    </xf>
    <xf numFmtId="0" fontId="13" fillId="0" borderId="58" xfId="0" applyFont="1" applyBorder="1" applyAlignment="1">
      <alignment wrapText="1"/>
    </xf>
    <xf numFmtId="0" fontId="13" fillId="0" borderId="0" xfId="0" applyFont="1" applyBorder="1" applyAlignment="1">
      <alignment wrapText="1"/>
    </xf>
    <xf numFmtId="0" fontId="3"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6AACAA"/>
      <rgbColor rgb="00FFFFFF"/>
      <rgbColor rgb="00FF0000"/>
      <rgbColor rgb="0000FF00"/>
      <rgbColor rgb="000000FF"/>
      <rgbColor rgb="00FFFF00"/>
      <rgbColor rgb="00FF00FF"/>
      <rgbColor rgb="0000FFFF"/>
      <rgbColor rgb="00346666"/>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333333"/>
                </a:solidFill>
                <a:latin typeface="Arial"/>
                <a:ea typeface="Arial"/>
                <a:cs typeface="Arial"/>
              </a:rPr>
              <a:t>Cost Comparison Corrugated vs. Returnable</a:t>
            </a:r>
          </a:p>
        </c:rich>
      </c:tx>
      <c:layout>
        <c:manualLayout>
          <c:xMode val="factor"/>
          <c:yMode val="factor"/>
          <c:x val="0.00325"/>
          <c:y val="0"/>
        </c:manualLayout>
      </c:layout>
      <c:spPr>
        <a:noFill/>
        <a:ln>
          <a:noFill/>
        </a:ln>
      </c:spPr>
    </c:title>
    <c:plotArea>
      <c:layout>
        <c:manualLayout>
          <c:xMode val="edge"/>
          <c:yMode val="edge"/>
          <c:x val="0.05775"/>
          <c:y val="0.16975"/>
          <c:w val="0.578"/>
          <c:h val="0.71625"/>
        </c:manualLayout>
      </c:layout>
      <c:lineChart>
        <c:grouping val="standard"/>
        <c:varyColors val="0"/>
        <c:ser>
          <c:idx val="0"/>
          <c:order val="0"/>
          <c:tx>
            <c:v>Corrugated Cost per Use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'INACTIVE - chart data'!$C$16:$I$16</c:f>
              <c:numCache>
                <c:ptCount val="7"/>
                <c:pt idx="0">
                  <c:v>11.75523349436393</c:v>
                </c:pt>
                <c:pt idx="1">
                  <c:v>12.289562289562289</c:v>
                </c:pt>
                <c:pt idx="2">
                  <c:v>12.874779541446207</c:v>
                </c:pt>
                <c:pt idx="3">
                  <c:v>13.518518518518519</c:v>
                </c:pt>
                <c:pt idx="4">
                  <c:v>14.23001949317739</c:v>
                </c:pt>
                <c:pt idx="5">
                  <c:v>15.020576131687243</c:v>
                </c:pt>
                <c:pt idx="6">
                  <c:v>15.9041394335512</c:v>
                </c:pt>
              </c:numCache>
            </c:numRef>
          </c:cat>
          <c:val>
            <c:numRef>
              <c:f>'INACTIVE - chart data'!$C$13:$I$13</c:f>
              <c:numCache>
                <c:ptCount val="7"/>
                <c:pt idx="0">
                  <c:v>7.02</c:v>
                </c:pt>
                <c:pt idx="1">
                  <c:v>7.02</c:v>
                </c:pt>
                <c:pt idx="2">
                  <c:v>7.02</c:v>
                </c:pt>
                <c:pt idx="3">
                  <c:v>7.02</c:v>
                </c:pt>
                <c:pt idx="4">
                  <c:v>7.02</c:v>
                </c:pt>
                <c:pt idx="5">
                  <c:v>7.02</c:v>
                </c:pt>
                <c:pt idx="6">
                  <c:v>7.02</c:v>
                </c:pt>
              </c:numCache>
            </c:numRef>
          </c:val>
          <c:smooth val="0"/>
        </c:ser>
        <c:ser>
          <c:idx val="1"/>
          <c:order val="1"/>
          <c:tx>
            <c:v>Returnable Cost per Use</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'INACTIVE - chart data'!$C$16:$I$16</c:f>
              <c:numCache>
                <c:ptCount val="7"/>
                <c:pt idx="0">
                  <c:v>11.75523349436393</c:v>
                </c:pt>
                <c:pt idx="1">
                  <c:v>12.289562289562289</c:v>
                </c:pt>
                <c:pt idx="2">
                  <c:v>12.874779541446207</c:v>
                </c:pt>
                <c:pt idx="3">
                  <c:v>13.518518518518519</c:v>
                </c:pt>
                <c:pt idx="4">
                  <c:v>14.23001949317739</c:v>
                </c:pt>
                <c:pt idx="5">
                  <c:v>15.020576131687243</c:v>
                </c:pt>
                <c:pt idx="6">
                  <c:v>15.9041394335512</c:v>
                </c:pt>
              </c:numCache>
            </c:numRef>
          </c:cat>
          <c:val>
            <c:numRef>
              <c:f>'INACTIVE - chart data'!$C$15:$I$15</c:f>
              <c:numCache>
                <c:ptCount val="7"/>
                <c:pt idx="0">
                  <c:v>0</c:v>
                </c:pt>
                <c:pt idx="1">
                  <c:v>0</c:v>
                </c:pt>
                <c:pt idx="2">
                  <c:v>0</c:v>
                </c:pt>
                <c:pt idx="3">
                  <c:v>0</c:v>
                </c:pt>
                <c:pt idx="4">
                  <c:v>0</c:v>
                </c:pt>
                <c:pt idx="5">
                  <c:v>0</c:v>
                </c:pt>
                <c:pt idx="6">
                  <c:v>0</c:v>
                </c:pt>
              </c:numCache>
            </c:numRef>
          </c:val>
          <c:smooth val="0"/>
        </c:ser>
        <c:marker val="1"/>
        <c:axId val="18521225"/>
        <c:axId val="32473298"/>
      </c:lineChart>
      <c:catAx>
        <c:axId val="18521225"/>
        <c:scaling>
          <c:orientation val="minMax"/>
        </c:scaling>
        <c:axPos val="b"/>
        <c:title>
          <c:tx>
            <c:rich>
              <a:bodyPr vert="horz" rot="0" anchor="ctr"/>
              <a:lstStyle/>
              <a:p>
                <a:pPr algn="ctr">
                  <a:defRPr/>
                </a:pPr>
                <a:r>
                  <a:rPr lang="en-US" cap="none" sz="1200" b="1" i="0" u="none" baseline="0">
                    <a:solidFill>
                      <a:srgbClr val="333333"/>
                    </a:solidFill>
                    <a:latin typeface="Arial"/>
                    <a:ea typeface="Arial"/>
                    <a:cs typeface="Arial"/>
                  </a:rPr>
                  <a:t>Turns per Year for RPC</a:t>
                </a:r>
              </a:p>
            </c:rich>
          </c:tx>
          <c:layout>
            <c:manualLayout>
              <c:xMode val="factor"/>
              <c:yMode val="factor"/>
              <c:x val="-0.01875"/>
              <c:y val="0.00675"/>
            </c:manualLayout>
          </c:layout>
          <c:overlay val="0"/>
          <c:spPr>
            <a:noFill/>
            <a:ln>
              <a:noFill/>
            </a:ln>
          </c:spPr>
        </c:title>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2473298"/>
        <c:crosses val="autoZero"/>
        <c:auto val="1"/>
        <c:lblOffset val="100"/>
        <c:tickLblSkip val="1"/>
        <c:noMultiLvlLbl val="0"/>
      </c:catAx>
      <c:valAx>
        <c:axId val="32473298"/>
        <c:scaling>
          <c:orientation val="minMax"/>
        </c:scaling>
        <c:axPos val="l"/>
        <c:title>
          <c:tx>
            <c:rich>
              <a:bodyPr vert="horz" rot="-5400000" anchor="ctr"/>
              <a:lstStyle/>
              <a:p>
                <a:pPr algn="ctr">
                  <a:defRPr/>
                </a:pPr>
                <a:r>
                  <a:rPr lang="en-US" cap="none" sz="1200" b="1" i="0" u="none" baseline="0">
                    <a:solidFill>
                      <a:srgbClr val="333333"/>
                    </a:solidFill>
                    <a:latin typeface="Arial"/>
                    <a:ea typeface="Arial"/>
                    <a:cs typeface="Arial"/>
                  </a:rPr>
                  <a:t>Cost Per Use</a:t>
                </a:r>
              </a:p>
            </c:rich>
          </c:tx>
          <c:layout>
            <c:manualLayout>
              <c:xMode val="factor"/>
              <c:yMode val="factor"/>
              <c:x val="-0.02725"/>
              <c:y val="-0.00875"/>
            </c:manualLayout>
          </c:layout>
          <c:overlay val="0"/>
          <c:spPr>
            <a:noFill/>
            <a:ln>
              <a:noFill/>
            </a:ln>
          </c:spPr>
        </c:title>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8521225"/>
        <c:crossesAt val="1"/>
        <c:crossBetween val="between"/>
        <c:dispUnits/>
      </c:valAx>
      <c:spPr>
        <a:noFill/>
        <a:ln w="12700">
          <a:solidFill>
            <a:srgbClr val="808080"/>
          </a:solidFill>
        </a:ln>
      </c:spPr>
    </c:plotArea>
    <c:legend>
      <c:legendPos val="r"/>
      <c:layout>
        <c:manualLayout>
          <c:xMode val="edge"/>
          <c:yMode val="edge"/>
          <c:x val="0.67225"/>
          <c:y val="0.44075"/>
          <c:w val="0.303"/>
          <c:h val="0.24725"/>
        </c:manualLayout>
      </c:layout>
      <c:overlay val="0"/>
      <c:spPr>
        <a:solidFill>
          <a:srgbClr val="FFFFFF"/>
        </a:solidFill>
        <a:ln w="3175">
          <a:solidFill>
            <a:srgbClr val="333333"/>
          </a:solidFill>
        </a:ln>
      </c:spPr>
      <c:txPr>
        <a:bodyPr vert="horz" rot="0"/>
        <a:lstStyle/>
        <a:p>
          <a:pPr>
            <a:defRPr lang="en-US" cap="none" sz="1010"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333333"/>
      </a:solidFill>
    </a:ln>
  </c:spPr>
  <c:txPr>
    <a:bodyPr vert="horz" rot="0"/>
    <a:lstStyle/>
    <a:p>
      <a:pPr>
        <a:defRPr lang="en-US" cap="none" sz="1200" b="0" i="0" u="none" baseline="0">
          <a:solidFill>
            <a:srgbClr val="333333"/>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1</xdr:row>
      <xdr:rowOff>123825</xdr:rowOff>
    </xdr:from>
    <xdr:to>
      <xdr:col>10</xdr:col>
      <xdr:colOff>514350</xdr:colOff>
      <xdr:row>24</xdr:row>
      <xdr:rowOff>28575</xdr:rowOff>
    </xdr:to>
    <xdr:graphicFrame>
      <xdr:nvGraphicFramePr>
        <xdr:cNvPr id="1" name="Chart 2"/>
        <xdr:cNvGraphicFramePr/>
      </xdr:nvGraphicFramePr>
      <xdr:xfrm>
        <a:off x="581025" y="285750"/>
        <a:ext cx="5838825" cy="3629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02"/>
  <sheetViews>
    <sheetView tabSelected="1" zoomScalePageLayoutView="0" workbookViewId="0" topLeftCell="A1">
      <selection activeCell="K6" sqref="K6:K7"/>
    </sheetView>
  </sheetViews>
  <sheetFormatPr defaultColWidth="8.8515625" defaultRowHeight="12.75"/>
  <cols>
    <col min="1" max="1" width="45.28125" style="0" customWidth="1"/>
    <col min="2" max="2" width="21.8515625" style="0" customWidth="1"/>
    <col min="3" max="3" width="14.140625" style="0" customWidth="1"/>
    <col min="4" max="5" width="0.42578125" style="0" customWidth="1"/>
    <col min="6" max="6" width="21.8515625" style="0" customWidth="1"/>
    <col min="7" max="7" width="17.140625" style="0" customWidth="1"/>
    <col min="8" max="8" width="0.42578125" style="0" customWidth="1"/>
    <col min="9" max="9" width="11.7109375" style="0" bestFit="1" customWidth="1"/>
    <col min="10" max="10" width="12.28125" style="0" customWidth="1"/>
  </cols>
  <sheetData>
    <row r="1" spans="1:7" ht="15.75">
      <c r="A1" s="222" t="s">
        <v>113</v>
      </c>
      <c r="B1" s="222"/>
      <c r="C1" s="222"/>
      <c r="D1" s="222"/>
      <c r="E1" s="222"/>
      <c r="F1" s="222"/>
      <c r="G1" s="222"/>
    </row>
    <row r="2" spans="1:7" ht="93" customHeight="1">
      <c r="A2" s="223" t="s">
        <v>114</v>
      </c>
      <c r="B2" s="224"/>
      <c r="C2" s="224"/>
      <c r="D2" s="224"/>
      <c r="E2" s="224"/>
      <c r="F2" s="224"/>
      <c r="G2" s="224"/>
    </row>
    <row r="4" spans="1:2" ht="15.75">
      <c r="A4" s="31" t="s">
        <v>24</v>
      </c>
      <c r="B4" t="s">
        <v>125</v>
      </c>
    </row>
    <row r="6" spans="1:2" ht="15.75">
      <c r="A6" s="31" t="s">
        <v>18</v>
      </c>
      <c r="B6" s="144" t="s">
        <v>49</v>
      </c>
    </row>
    <row r="7" ht="13.5" thickBot="1"/>
    <row r="8" spans="2:8" ht="15.75">
      <c r="B8" s="240" t="str">
        <f>CONCATENATE("Limited-Use ",B6)</f>
        <v>Limited-Use Pallet</v>
      </c>
      <c r="C8" s="241"/>
      <c r="D8" s="40"/>
      <c r="E8" s="34"/>
      <c r="F8" s="234" t="str">
        <f>CONCATENATE("Reusable ",B6)</f>
        <v>Reusable Pallet</v>
      </c>
      <c r="G8" s="235"/>
      <c r="H8" s="236"/>
    </row>
    <row r="9" spans="1:8" ht="16.5" thickBot="1">
      <c r="A9" s="31" t="s">
        <v>27</v>
      </c>
      <c r="B9" s="226"/>
      <c r="C9" s="227"/>
      <c r="D9" s="41"/>
      <c r="E9" s="34"/>
      <c r="F9" s="237"/>
      <c r="G9" s="238"/>
      <c r="H9" s="239"/>
    </row>
    <row r="10" spans="1:8" ht="60.75" customHeight="1" thickBot="1">
      <c r="A10" s="137" t="s">
        <v>115</v>
      </c>
      <c r="B10" s="38" t="str">
        <f>CONCATENATE("Limited-Use ",B6)</f>
        <v>Limited-Use Pallet</v>
      </c>
      <c r="C10" s="122">
        <f>IF(B6="Carton",1,7)</f>
        <v>7</v>
      </c>
      <c r="D10" s="41"/>
      <c r="E10" s="35">
        <f>IF(B6="Carton",1,7)</f>
        <v>7</v>
      </c>
      <c r="F10" s="46" t="str">
        <f>CONCATENATE("Reusable ",B6," Price")</f>
        <v>Reusable Pallet Price</v>
      </c>
      <c r="G10" s="140">
        <f>IF(B6="Carton",7.5,36)</f>
        <v>36</v>
      </c>
      <c r="H10" s="47"/>
    </row>
    <row r="11" spans="1:8" ht="77.25" thickBot="1">
      <c r="A11" s="137" t="s">
        <v>126</v>
      </c>
      <c r="B11" s="39" t="s">
        <v>11</v>
      </c>
      <c r="C11" s="123">
        <v>0.02</v>
      </c>
      <c r="D11" s="41"/>
      <c r="E11" s="35"/>
      <c r="F11" s="42"/>
      <c r="G11" s="43"/>
      <c r="H11" s="47"/>
    </row>
    <row r="12" spans="2:8" ht="13.5" thickBot="1">
      <c r="B12" s="54" t="s">
        <v>4</v>
      </c>
      <c r="C12" s="124">
        <f>SUM(C10:C11)</f>
        <v>7.02</v>
      </c>
      <c r="D12" s="41"/>
      <c r="E12" s="36"/>
      <c r="F12" s="44"/>
      <c r="G12" s="45"/>
      <c r="H12" s="48"/>
    </row>
    <row r="13" spans="1:8" ht="40.5" customHeight="1" thickBot="1">
      <c r="A13" s="137" t="s">
        <v>127</v>
      </c>
      <c r="B13" s="163" t="str">
        <f>CONCATENATE("Weight of Limited-Use ",B6)</f>
        <v>Weight of Limited-Use Pallet</v>
      </c>
      <c r="C13" s="176">
        <f>IF(B6="Carton",2,IF(B6="Pallet",40,2))</f>
        <v>40</v>
      </c>
      <c r="D13" s="177"/>
      <c r="E13" s="178"/>
      <c r="F13" s="72"/>
      <c r="G13" s="215"/>
      <c r="H13" s="47"/>
    </row>
    <row r="14" spans="2:8" ht="12.75">
      <c r="B14" s="28"/>
      <c r="C14" s="4"/>
      <c r="D14" s="4"/>
      <c r="E14" s="4"/>
      <c r="F14" s="4"/>
      <c r="G14" s="5"/>
      <c r="H14" s="4"/>
    </row>
    <row r="15" spans="1:7" ht="15.75">
      <c r="A15" s="31" t="s">
        <v>17</v>
      </c>
      <c r="C15" s="1"/>
      <c r="D15" s="1"/>
      <c r="E15" s="1"/>
      <c r="F15" s="4"/>
      <c r="G15" s="25"/>
    </row>
    <row r="16" spans="1:12" ht="66" customHeight="1" thickBot="1">
      <c r="A16" s="244" t="s">
        <v>116</v>
      </c>
      <c r="B16" s="244"/>
      <c r="C16" s="244"/>
      <c r="D16" s="145"/>
      <c r="E16" s="145"/>
      <c r="F16" s="145"/>
      <c r="G16" s="145"/>
      <c r="H16" s="7"/>
      <c r="I16" s="7"/>
      <c r="J16" s="7"/>
      <c r="K16" s="7"/>
      <c r="L16" s="7"/>
    </row>
    <row r="17" spans="1:12" ht="3" customHeight="1" thickBot="1">
      <c r="A17" s="78"/>
      <c r="B17" s="37"/>
      <c r="C17" s="37"/>
      <c r="D17" s="37"/>
      <c r="E17" s="37"/>
      <c r="F17" s="52"/>
      <c r="G17" s="63"/>
      <c r="H17" s="62"/>
      <c r="I17" s="7"/>
      <c r="J17" s="7"/>
      <c r="K17" s="7"/>
      <c r="L17" s="7"/>
    </row>
    <row r="18" spans="1:12" ht="13.5" customHeight="1" thickBot="1">
      <c r="A18" s="220"/>
      <c r="B18" s="220"/>
      <c r="C18" s="220"/>
      <c r="D18" s="132"/>
      <c r="E18" s="133"/>
      <c r="F18" s="61" t="s">
        <v>104</v>
      </c>
      <c r="G18" s="115">
        <v>5</v>
      </c>
      <c r="H18" s="47"/>
      <c r="I18" s="7"/>
      <c r="J18" s="7"/>
      <c r="K18" s="7"/>
      <c r="L18" s="7"/>
    </row>
    <row r="19" spans="1:12" ht="13.5" thickBot="1">
      <c r="A19" s="7"/>
      <c r="B19" s="22"/>
      <c r="C19" s="8"/>
      <c r="D19" s="8"/>
      <c r="E19" s="8"/>
      <c r="F19" s="46" t="s">
        <v>117</v>
      </c>
      <c r="G19" s="116">
        <v>2</v>
      </c>
      <c r="H19" s="47"/>
      <c r="I19" s="7"/>
      <c r="J19" s="7"/>
      <c r="K19" s="30"/>
      <c r="L19" s="7"/>
    </row>
    <row r="20" spans="1:12" ht="31.5" customHeight="1" thickBot="1">
      <c r="A20" s="220" t="s">
        <v>119</v>
      </c>
      <c r="B20" s="220"/>
      <c r="C20" s="220"/>
      <c r="D20" s="132"/>
      <c r="E20" s="133"/>
      <c r="F20" s="46" t="s">
        <v>25</v>
      </c>
      <c r="G20" s="116">
        <v>10</v>
      </c>
      <c r="H20" s="47"/>
      <c r="I20" s="7"/>
      <c r="J20" s="7"/>
      <c r="K20" s="7"/>
      <c r="L20" s="7"/>
    </row>
    <row r="21" spans="1:12" ht="26.25" thickBot="1">
      <c r="A21" s="7"/>
      <c r="B21" s="7"/>
      <c r="C21" s="8"/>
      <c r="D21" s="8"/>
      <c r="E21" s="8"/>
      <c r="F21" s="46" t="s">
        <v>118</v>
      </c>
      <c r="G21" s="116">
        <v>2</v>
      </c>
      <c r="H21" s="47"/>
      <c r="I21" s="7"/>
      <c r="J21" s="7"/>
      <c r="K21" s="7"/>
      <c r="L21" s="7"/>
    </row>
    <row r="22" spans="1:12" ht="42.75" customHeight="1" thickBot="1">
      <c r="A22" s="220" t="s">
        <v>39</v>
      </c>
      <c r="B22" s="220"/>
      <c r="C22" s="220"/>
      <c r="D22" s="132"/>
      <c r="E22" s="133"/>
      <c r="F22" s="46" t="s">
        <v>38</v>
      </c>
      <c r="G22" s="116">
        <v>3</v>
      </c>
      <c r="H22" s="47"/>
      <c r="I22" s="7"/>
      <c r="J22" s="7"/>
      <c r="K22" s="7"/>
      <c r="L22" s="7"/>
    </row>
    <row r="23" spans="1:12" ht="26.25" thickBot="1">
      <c r="A23" s="7"/>
      <c r="B23" s="7"/>
      <c r="C23" s="8"/>
      <c r="D23" s="8"/>
      <c r="E23" s="8"/>
      <c r="F23" s="46" t="s">
        <v>16</v>
      </c>
      <c r="G23" s="116">
        <v>5</v>
      </c>
      <c r="H23" s="47"/>
      <c r="I23" s="7"/>
      <c r="J23" s="7"/>
      <c r="K23" s="7"/>
      <c r="L23" s="7"/>
    </row>
    <row r="24" spans="1:12" ht="12.75">
      <c r="A24" s="225"/>
      <c r="B24" s="225"/>
      <c r="C24" s="225"/>
      <c r="D24" s="8"/>
      <c r="E24" s="8"/>
      <c r="F24" s="68" t="s">
        <v>56</v>
      </c>
      <c r="G24" s="64">
        <f>SUM(G18:G23)</f>
        <v>27</v>
      </c>
      <c r="H24" s="69"/>
      <c r="I24" s="7"/>
      <c r="J24" s="7"/>
      <c r="K24" s="7"/>
      <c r="L24" s="7"/>
    </row>
    <row r="25" spans="1:12" ht="43.5" customHeight="1" thickBot="1">
      <c r="A25" s="220" t="s">
        <v>65</v>
      </c>
      <c r="B25" s="220"/>
      <c r="C25" s="220"/>
      <c r="D25" s="132"/>
      <c r="E25" s="133"/>
      <c r="F25" s="67" t="s">
        <v>1</v>
      </c>
      <c r="G25" s="65">
        <f>365/G24</f>
        <v>13.518518518518519</v>
      </c>
      <c r="H25" s="48"/>
      <c r="I25" s="7"/>
      <c r="J25" s="7"/>
      <c r="K25" s="7"/>
      <c r="L25" s="7"/>
    </row>
    <row r="27" ht="15.75" customHeight="1" thickBot="1">
      <c r="A27" s="31" t="s">
        <v>5</v>
      </c>
    </row>
    <row r="28" spans="1:8" ht="2.25" customHeight="1" thickBot="1">
      <c r="A28" s="31"/>
      <c r="B28" s="56"/>
      <c r="C28" s="57"/>
      <c r="D28" s="58"/>
      <c r="E28" s="35"/>
      <c r="F28" s="59"/>
      <c r="G28" s="53"/>
      <c r="H28" s="60"/>
    </row>
    <row r="29" spans="1:8" ht="90" customHeight="1">
      <c r="A29" s="137" t="s">
        <v>121</v>
      </c>
      <c r="B29" s="70" t="s">
        <v>50</v>
      </c>
      <c r="C29" s="117">
        <v>70000</v>
      </c>
      <c r="D29" s="55"/>
      <c r="E29" s="35"/>
      <c r="F29" s="71" t="s">
        <v>51</v>
      </c>
      <c r="G29" s="154">
        <f>C29</f>
        <v>70000</v>
      </c>
      <c r="H29" s="47"/>
    </row>
    <row r="30" spans="1:9" ht="3" customHeight="1" thickBot="1">
      <c r="A30" s="26"/>
      <c r="B30" s="162"/>
      <c r="C30" s="161"/>
      <c r="D30" s="165"/>
      <c r="E30" s="35"/>
      <c r="F30" s="72"/>
      <c r="G30" s="74"/>
      <c r="H30" s="73"/>
      <c r="I30" s="27"/>
    </row>
    <row r="31" spans="1:7" ht="41.25" customHeight="1" thickBot="1">
      <c r="A31" s="214" t="s">
        <v>120</v>
      </c>
      <c r="B31" s="163" t="s">
        <v>122</v>
      </c>
      <c r="C31" s="164">
        <v>8</v>
      </c>
      <c r="D31" s="166"/>
      <c r="F31" s="96"/>
      <c r="G31" s="5"/>
    </row>
    <row r="32" spans="3:9" ht="12.75">
      <c r="C32" s="27"/>
      <c r="D32" s="27"/>
      <c r="E32" s="27"/>
      <c r="F32" s="27"/>
      <c r="G32" s="27"/>
      <c r="H32" s="27"/>
      <c r="I32" s="27"/>
    </row>
    <row r="33" ht="16.5" thickBot="1">
      <c r="A33" s="31" t="s">
        <v>40</v>
      </c>
    </row>
    <row r="34" spans="1:8" ht="3.75" customHeight="1" thickBot="1">
      <c r="A34" s="31"/>
      <c r="F34" s="77"/>
      <c r="G34" s="76"/>
      <c r="H34" s="50"/>
    </row>
    <row r="35" spans="1:12" ht="33" customHeight="1">
      <c r="A35" s="220" t="s">
        <v>52</v>
      </c>
      <c r="B35" s="220"/>
      <c r="C35" s="220"/>
      <c r="D35" s="134"/>
      <c r="E35" s="135"/>
      <c r="F35" s="84" t="s">
        <v>9</v>
      </c>
      <c r="G35" s="79">
        <v>5</v>
      </c>
      <c r="H35" s="69"/>
      <c r="I35" s="7"/>
      <c r="K35" s="7"/>
      <c r="L35" s="7"/>
    </row>
    <row r="36" spans="1:12" ht="31.5" customHeight="1">
      <c r="A36" s="220" t="s">
        <v>123</v>
      </c>
      <c r="B36" s="220"/>
      <c r="C36" s="220"/>
      <c r="D36" s="134"/>
      <c r="E36" s="135"/>
      <c r="F36" s="66" t="s">
        <v>19</v>
      </c>
      <c r="G36" s="80">
        <f>G29/G25</f>
        <v>5178.082191780822</v>
      </c>
      <c r="H36" s="69"/>
      <c r="I36" s="167"/>
      <c r="K36" s="7"/>
      <c r="L36" s="7"/>
    </row>
    <row r="37" spans="1:12" ht="30.75" customHeight="1">
      <c r="A37" s="7"/>
      <c r="B37" s="7"/>
      <c r="C37" s="7"/>
      <c r="F37" s="66" t="s">
        <v>41</v>
      </c>
      <c r="G37" s="126">
        <f>G36*G10</f>
        <v>186410.95890410958</v>
      </c>
      <c r="H37" s="69"/>
      <c r="I37" s="167"/>
      <c r="K37" s="7"/>
      <c r="L37" s="7"/>
    </row>
    <row r="38" spans="1:12" ht="12.75">
      <c r="A38" s="7"/>
      <c r="B38" s="7"/>
      <c r="C38" s="7"/>
      <c r="F38" s="84" t="s">
        <v>42</v>
      </c>
      <c r="G38" s="126">
        <f>G37/G35</f>
        <v>37282.191780821915</v>
      </c>
      <c r="H38" s="69"/>
      <c r="I38" s="167"/>
      <c r="K38" s="7"/>
      <c r="L38" s="7"/>
    </row>
    <row r="40" ht="16.5" thickBot="1">
      <c r="A40" s="31" t="s">
        <v>58</v>
      </c>
    </row>
    <row r="41" spans="1:8" ht="13.5" thickBot="1">
      <c r="A41" s="139" t="s">
        <v>105</v>
      </c>
      <c r="B41" s="143"/>
      <c r="C41" s="108"/>
      <c r="F41" s="75"/>
      <c r="G41" s="49"/>
      <c r="H41" s="50"/>
    </row>
    <row r="42" spans="1:12" ht="39" thickBot="1">
      <c r="A42" s="139" t="s">
        <v>64</v>
      </c>
      <c r="B42" s="38" t="s">
        <v>63</v>
      </c>
      <c r="C42" s="136">
        <v>250</v>
      </c>
      <c r="D42" s="134"/>
      <c r="E42" s="135"/>
      <c r="F42" s="46" t="s">
        <v>63</v>
      </c>
      <c r="G42" s="136">
        <v>250</v>
      </c>
      <c r="H42" s="47"/>
      <c r="I42" s="7"/>
      <c r="J42" s="7"/>
      <c r="K42" s="7"/>
      <c r="L42" s="7"/>
    </row>
    <row r="43" spans="1:12" s="175" customFormat="1" ht="25.5">
      <c r="A43" s="216" t="s">
        <v>130</v>
      </c>
      <c r="B43" s="38" t="s">
        <v>6</v>
      </c>
      <c r="C43" s="200">
        <v>0.25</v>
      </c>
      <c r="F43" s="46" t="s">
        <v>6</v>
      </c>
      <c r="G43" s="200">
        <v>0.25</v>
      </c>
      <c r="H43" s="201"/>
      <c r="I43" s="174"/>
      <c r="J43" s="174"/>
      <c r="K43" s="174"/>
      <c r="L43" s="174"/>
    </row>
    <row r="44" spans="1:12" s="175" customFormat="1" ht="25.5">
      <c r="A44" s="139" t="s">
        <v>131</v>
      </c>
      <c r="B44" s="38" t="s">
        <v>57</v>
      </c>
      <c r="C44" s="202">
        <v>600</v>
      </c>
      <c r="F44" s="46" t="s">
        <v>57</v>
      </c>
      <c r="G44" s="203">
        <v>600</v>
      </c>
      <c r="H44" s="201"/>
      <c r="I44" s="174"/>
      <c r="J44" s="174"/>
      <c r="K44" s="174"/>
      <c r="L44" s="174"/>
    </row>
    <row r="45" spans="1:12" s="175" customFormat="1" ht="13.5" thickBot="1">
      <c r="A45" s="139" t="s">
        <v>132</v>
      </c>
      <c r="B45" s="38" t="s">
        <v>7</v>
      </c>
      <c r="C45" s="204">
        <v>100</v>
      </c>
      <c r="F45" s="46" t="s">
        <v>7</v>
      </c>
      <c r="G45" s="205">
        <v>100</v>
      </c>
      <c r="H45" s="201"/>
      <c r="I45" s="174"/>
      <c r="J45" s="174"/>
      <c r="K45" s="174"/>
      <c r="L45" s="174"/>
    </row>
    <row r="46" spans="1:13" s="175" customFormat="1" ht="36.75" customHeight="1" thickBot="1">
      <c r="A46" s="139" t="s">
        <v>128</v>
      </c>
      <c r="B46" s="38" t="s">
        <v>106</v>
      </c>
      <c r="C46" s="206">
        <f>IF(B6="Carton",4000,500)</f>
        <v>500</v>
      </c>
      <c r="D46" s="207"/>
      <c r="E46" s="208"/>
      <c r="F46" s="46" t="s">
        <v>106</v>
      </c>
      <c r="G46" s="209">
        <f>IF(B6="Carton",4000,500)</f>
        <v>500</v>
      </c>
      <c r="H46" s="201"/>
      <c r="I46" s="217"/>
      <c r="J46" s="218"/>
      <c r="K46" s="218"/>
      <c r="L46" s="218"/>
      <c r="M46" s="219"/>
    </row>
    <row r="47" spans="1:12" s="175" customFormat="1" ht="26.25" thickBot="1">
      <c r="A47" s="29"/>
      <c r="B47" s="210" t="s">
        <v>107</v>
      </c>
      <c r="C47" s="211">
        <f>C45/C46</f>
        <v>0.2</v>
      </c>
      <c r="F47" s="212" t="s">
        <v>108</v>
      </c>
      <c r="G47" s="213">
        <f>G45/G46</f>
        <v>0.2</v>
      </c>
      <c r="H47" s="201"/>
      <c r="I47" s="174"/>
      <c r="J47" s="174"/>
      <c r="K47" s="174"/>
      <c r="L47" s="174"/>
    </row>
    <row r="48" spans="1:12" ht="51.75" hidden="1" thickBot="1">
      <c r="A48" s="242" t="s">
        <v>26</v>
      </c>
      <c r="B48" s="243"/>
      <c r="C48" s="114" t="s">
        <v>69</v>
      </c>
      <c r="D48" s="138"/>
      <c r="E48" s="135"/>
      <c r="F48" s="87" t="s">
        <v>31</v>
      </c>
      <c r="G48" s="125">
        <v>0</v>
      </c>
      <c r="H48" s="89"/>
      <c r="I48" s="7"/>
      <c r="J48" s="7"/>
      <c r="K48" s="7"/>
      <c r="L48" s="7"/>
    </row>
    <row r="49" spans="1:12" ht="2.25" customHeight="1">
      <c r="A49" s="7"/>
      <c r="B49" s="7"/>
      <c r="C49" s="7"/>
      <c r="F49" s="42"/>
      <c r="G49" s="128"/>
      <c r="H49" s="89"/>
      <c r="I49" s="7"/>
      <c r="J49" s="7"/>
      <c r="K49" s="7"/>
      <c r="L49" s="7"/>
    </row>
    <row r="50" spans="1:12" ht="39" hidden="1" thickBot="1">
      <c r="A50" s="7"/>
      <c r="B50" s="7"/>
      <c r="C50" s="7"/>
      <c r="F50" s="88" t="s">
        <v>20</v>
      </c>
      <c r="G50" s="129">
        <f>IF(C48="Yes",G48,G47)</f>
        <v>0.2</v>
      </c>
      <c r="H50" s="90"/>
      <c r="I50" s="7"/>
      <c r="J50" s="7"/>
      <c r="K50" s="7"/>
      <c r="L50" s="7"/>
    </row>
    <row r="51" spans="1:12" ht="12.75">
      <c r="A51" s="7"/>
      <c r="B51" s="7"/>
      <c r="C51" s="7"/>
      <c r="F51" s="85"/>
      <c r="G51" s="86"/>
      <c r="I51" s="7"/>
      <c r="J51" s="7"/>
      <c r="K51" s="7"/>
      <c r="L51" s="7"/>
    </row>
    <row r="52" spans="1:12" ht="13.5" thickBot="1">
      <c r="A52" s="7"/>
      <c r="B52" s="7"/>
      <c r="C52" s="7"/>
      <c r="F52" s="4"/>
      <c r="G52" s="93" t="s">
        <v>21</v>
      </c>
      <c r="I52" s="7"/>
      <c r="J52" s="7"/>
      <c r="K52" s="7"/>
      <c r="L52" s="7"/>
    </row>
    <row r="53" spans="1:12" ht="3" customHeight="1" thickBot="1">
      <c r="A53" s="7"/>
      <c r="B53" s="7"/>
      <c r="C53" s="7"/>
      <c r="F53" s="75"/>
      <c r="G53" s="49"/>
      <c r="H53" s="50"/>
      <c r="I53" s="7"/>
      <c r="J53" s="7"/>
      <c r="K53" s="7"/>
      <c r="L53" s="7"/>
    </row>
    <row r="54" spans="1:8" ht="48" customHeight="1" thickBot="1">
      <c r="A54" s="139" t="s">
        <v>59</v>
      </c>
      <c r="D54" s="134"/>
      <c r="E54" s="135"/>
      <c r="F54" s="118">
        <v>0.03</v>
      </c>
      <c r="G54" s="129">
        <f>G37*F54/G29</f>
        <v>0.0798904109589041</v>
      </c>
      <c r="H54" s="90"/>
    </row>
    <row r="55" spans="1:8" ht="2.25" customHeight="1" thickBot="1">
      <c r="A55" s="91"/>
      <c r="B55" s="92"/>
      <c r="C55" s="92"/>
      <c r="F55" s="81"/>
      <c r="G55" s="82"/>
      <c r="H55" s="83"/>
    </row>
    <row r="56" spans="1:9" ht="7.5" customHeight="1">
      <c r="A56" s="91"/>
      <c r="B56" s="92"/>
      <c r="C56" s="92"/>
      <c r="E56" s="92"/>
      <c r="F56" s="92"/>
      <c r="G56" s="92"/>
      <c r="H56" s="92"/>
      <c r="I56" s="92"/>
    </row>
    <row r="57" spans="6:7" ht="13.5" thickBot="1">
      <c r="F57" s="4"/>
      <c r="G57" s="93" t="s">
        <v>21</v>
      </c>
    </row>
    <row r="58" spans="2:8" ht="3" customHeight="1" thickBot="1">
      <c r="B58" s="156"/>
      <c r="C58" s="108"/>
      <c r="F58" s="77"/>
      <c r="G58" s="49"/>
      <c r="H58" s="50"/>
    </row>
    <row r="59" spans="1:8" ht="79.5" thickBot="1">
      <c r="A59" s="139" t="s">
        <v>129</v>
      </c>
      <c r="B59" s="155" t="s">
        <v>2</v>
      </c>
      <c r="C59" s="131">
        <v>0.25</v>
      </c>
      <c r="D59" s="134"/>
      <c r="E59" s="135"/>
      <c r="F59" s="95" t="s">
        <v>2</v>
      </c>
      <c r="G59" s="131">
        <v>0.25</v>
      </c>
      <c r="H59" s="47"/>
    </row>
    <row r="60" spans="1:8" ht="3" customHeight="1" thickBot="1">
      <c r="A60" s="94" t="s">
        <v>0</v>
      </c>
      <c r="B60" s="81"/>
      <c r="C60" s="82"/>
      <c r="F60" s="81"/>
      <c r="G60" s="82"/>
      <c r="H60" s="83"/>
    </row>
    <row r="62" spans="1:7" ht="15.75">
      <c r="A62" s="32" t="s">
        <v>43</v>
      </c>
      <c r="B62" s="7"/>
      <c r="C62" s="7"/>
      <c r="D62" s="7"/>
      <c r="E62" s="7"/>
      <c r="F62" s="7"/>
      <c r="G62" s="7"/>
    </row>
    <row r="63" spans="1:8" ht="30.75" customHeight="1">
      <c r="A63" s="221" t="s">
        <v>75</v>
      </c>
      <c r="B63" s="221"/>
      <c r="C63" s="221"/>
      <c r="D63" s="221"/>
      <c r="E63" s="221"/>
      <c r="F63" s="221"/>
      <c r="G63" s="221"/>
      <c r="H63" s="29"/>
    </row>
    <row r="64" spans="1:12" s="175" customFormat="1" ht="26.25" thickBot="1">
      <c r="A64" s="172" t="s">
        <v>62</v>
      </c>
      <c r="B64" s="173" t="str">
        <f>CONCATENATE("User-Defined Value per ",B6)</f>
        <v>User-Defined Value per Pallet</v>
      </c>
      <c r="C64" s="173" t="str">
        <f>CONCATENATE("Default cost per ",B6)</f>
        <v>Default cost per Pallet</v>
      </c>
      <c r="D64" s="173"/>
      <c r="E64" s="173"/>
      <c r="F64" s="173" t="s">
        <v>10</v>
      </c>
      <c r="G64" s="173" t="s">
        <v>124</v>
      </c>
      <c r="H64" s="174"/>
      <c r="I64" s="174"/>
      <c r="J64" s="174"/>
      <c r="K64" s="174"/>
      <c r="L64" s="174"/>
    </row>
    <row r="65" spans="1:12" ht="25.5">
      <c r="A65" s="169" t="s">
        <v>14</v>
      </c>
      <c r="B65" s="146"/>
      <c r="C65" s="148">
        <v>0.2</v>
      </c>
      <c r="D65" s="119"/>
      <c r="E65" s="120"/>
      <c r="F65" s="169" t="s">
        <v>66</v>
      </c>
      <c r="G65" s="151">
        <v>0</v>
      </c>
      <c r="H65" s="99"/>
      <c r="I65" s="7"/>
      <c r="J65" s="7"/>
      <c r="K65" s="7"/>
      <c r="L65" s="7"/>
    </row>
    <row r="66" spans="1:12" ht="25.5">
      <c r="A66" s="170" t="s">
        <v>13</v>
      </c>
      <c r="B66" s="147" t="s">
        <v>12</v>
      </c>
      <c r="C66" s="149">
        <v>0.15</v>
      </c>
      <c r="D66" s="121"/>
      <c r="E66" s="120"/>
      <c r="F66" s="171"/>
      <c r="G66" s="152">
        <v>0</v>
      </c>
      <c r="H66" s="51"/>
      <c r="I66" s="7"/>
      <c r="J66" s="7"/>
      <c r="K66" s="7"/>
      <c r="L66" s="7"/>
    </row>
    <row r="67" spans="1:12" ht="12.75">
      <c r="A67" s="168" t="s">
        <v>54</v>
      </c>
      <c r="B67" s="147"/>
      <c r="C67" s="149">
        <v>0</v>
      </c>
      <c r="D67" s="121"/>
      <c r="E67" s="120"/>
      <c r="F67" s="171"/>
      <c r="G67" s="152"/>
      <c r="H67" s="51"/>
      <c r="I67" s="7"/>
      <c r="J67" s="7"/>
      <c r="K67" s="7"/>
      <c r="L67" s="7"/>
    </row>
    <row r="68" spans="1:12" ht="12.75">
      <c r="A68" s="168" t="s">
        <v>15</v>
      </c>
      <c r="B68" s="147"/>
      <c r="C68" s="149">
        <v>0</v>
      </c>
      <c r="D68" s="121"/>
      <c r="E68" s="120"/>
      <c r="F68" s="171"/>
      <c r="G68" s="152"/>
      <c r="H68" s="51"/>
      <c r="I68" s="7"/>
      <c r="J68" s="7"/>
      <c r="K68" s="7"/>
      <c r="L68" s="7"/>
    </row>
    <row r="69" spans="1:12" ht="12.75">
      <c r="A69" s="168"/>
      <c r="B69" s="147"/>
      <c r="C69" s="149"/>
      <c r="D69" s="121"/>
      <c r="E69" s="120"/>
      <c r="F69" s="171"/>
      <c r="G69" s="152"/>
      <c r="H69" s="51"/>
      <c r="I69" s="7"/>
      <c r="J69" s="7"/>
      <c r="K69" s="7"/>
      <c r="L69" s="7"/>
    </row>
    <row r="70" spans="1:12" ht="13.5" thickBot="1">
      <c r="A70" s="168"/>
      <c r="B70" s="147"/>
      <c r="C70" s="150"/>
      <c r="D70" s="121"/>
      <c r="E70" s="120"/>
      <c r="F70" s="171"/>
      <c r="G70" s="153"/>
      <c r="H70" s="51"/>
      <c r="I70" s="7"/>
      <c r="J70" s="7"/>
      <c r="K70" s="7"/>
      <c r="L70" s="7"/>
    </row>
    <row r="71" spans="1:12" ht="13.5" thickBot="1">
      <c r="A71" s="23"/>
      <c r="B71" s="24" t="s">
        <v>53</v>
      </c>
      <c r="C71" s="130">
        <f>SUM(C65:C70)</f>
        <v>0.35</v>
      </c>
      <c r="D71" s="101"/>
      <c r="E71" s="97"/>
      <c r="F71" s="98"/>
      <c r="G71" s="129">
        <f>SUM(G65:G70)</f>
        <v>0</v>
      </c>
      <c r="H71" s="100"/>
      <c r="I71" s="7"/>
      <c r="J71" s="7"/>
      <c r="K71" s="7"/>
      <c r="L71" s="7"/>
    </row>
    <row r="72" spans="6:7" ht="12.75">
      <c r="F72" s="96"/>
      <c r="G72" s="5"/>
    </row>
    <row r="73" spans="1:8" ht="27.75" customHeight="1" thickBot="1">
      <c r="A73" s="31" t="s">
        <v>8</v>
      </c>
      <c r="B73" s="245" t="s">
        <v>74</v>
      </c>
      <c r="C73" s="245"/>
      <c r="D73" s="245"/>
      <c r="E73" s="245"/>
      <c r="F73" s="245"/>
      <c r="G73" s="245"/>
      <c r="H73" s="245"/>
    </row>
    <row r="74" spans="1:8" ht="3" customHeight="1" thickBot="1">
      <c r="A74" s="31"/>
      <c r="B74" s="105"/>
      <c r="C74" s="108"/>
      <c r="D74" s="109"/>
      <c r="E74" s="33"/>
      <c r="F74" s="75"/>
      <c r="G74" s="49"/>
      <c r="H74" s="50"/>
    </row>
    <row r="75" spans="2:8" ht="26.25" thickBot="1">
      <c r="B75" s="158" t="str">
        <f>CONCATENATE(B6," Cost (factors in all costs above)")</f>
        <v>Pallet Cost (factors in all costs above)</v>
      </c>
      <c r="C75" s="159">
        <f>(C12+SUM(C66:C70))/C31+C65/MEDIAN(1,C31)+IF(C31&gt;1,C47+C59,0)</f>
        <v>1.3906944444444445</v>
      </c>
      <c r="D75" s="110"/>
      <c r="E75" s="33"/>
      <c r="F75" s="102" t="s">
        <v>32</v>
      </c>
      <c r="G75" s="129">
        <f>G59+G50+G71+G54</f>
        <v>0.5298904109589041</v>
      </c>
      <c r="H75" s="47"/>
    </row>
    <row r="76" spans="2:8" ht="13.5" thickBot="1">
      <c r="B76" s="157" t="s">
        <v>55</v>
      </c>
      <c r="C76" s="160">
        <f>C75*C29</f>
        <v>97348.61111111111</v>
      </c>
      <c r="D76" s="111"/>
      <c r="E76" s="33"/>
      <c r="F76" s="104" t="str">
        <f>B76</f>
        <v>Annual cost</v>
      </c>
      <c r="G76" s="127">
        <f>G75*G29</f>
        <v>37092.32876712329</v>
      </c>
      <c r="H76" s="90"/>
    </row>
    <row r="77" spans="2:9" ht="3" customHeight="1" thickBot="1">
      <c r="B77" s="106"/>
      <c r="C77" s="107"/>
      <c r="D77" s="112"/>
      <c r="E77" s="33"/>
      <c r="F77" s="103"/>
      <c r="G77" s="82"/>
      <c r="H77" s="83"/>
      <c r="I77" s="15"/>
    </row>
    <row r="78" spans="2:7" ht="12.75">
      <c r="B78" s="15"/>
      <c r="C78" s="15"/>
      <c r="D78" s="15"/>
      <c r="E78" s="15"/>
      <c r="F78" s="15"/>
      <c r="G78" s="15"/>
    </row>
    <row r="79" spans="1:7" ht="16.5" thickBot="1">
      <c r="A79" s="31" t="s">
        <v>28</v>
      </c>
      <c r="C79" s="5"/>
      <c r="D79" s="5"/>
      <c r="E79" s="5"/>
      <c r="G79" s="5"/>
    </row>
    <row r="80" spans="1:8" ht="3" customHeight="1">
      <c r="A80" s="31"/>
      <c r="C80" s="75"/>
      <c r="D80" s="76"/>
      <c r="E80" s="76"/>
      <c r="F80" s="76"/>
      <c r="G80" s="49"/>
      <c r="H80" s="50"/>
    </row>
    <row r="81" spans="1:8" ht="13.5" customHeight="1">
      <c r="A81" s="31"/>
      <c r="C81" s="42" t="s">
        <v>110</v>
      </c>
      <c r="D81" s="198"/>
      <c r="E81" s="198"/>
      <c r="F81" s="198"/>
      <c r="G81" s="199">
        <f>G$84/G37</f>
        <v>0.3232443129858254</v>
      </c>
      <c r="H81" s="47"/>
    </row>
    <row r="82" spans="1:8" ht="13.5" customHeight="1" thickBot="1">
      <c r="A82" s="31"/>
      <c r="C82" s="42" t="s">
        <v>109</v>
      </c>
      <c r="D82" s="198"/>
      <c r="E82" s="198"/>
      <c r="F82" s="198"/>
      <c r="G82" s="199">
        <f>G$84/G38</f>
        <v>1.616221564929127</v>
      </c>
      <c r="H82" s="47"/>
    </row>
    <row r="83" spans="3:8" ht="13.5" customHeight="1" thickBot="1">
      <c r="C83" s="231" t="s">
        <v>76</v>
      </c>
      <c r="D83" s="232"/>
      <c r="E83" s="232"/>
      <c r="F83" s="233"/>
      <c r="G83" s="129">
        <f>C75-G75</f>
        <v>0.8608040334855404</v>
      </c>
      <c r="H83" s="47"/>
    </row>
    <row r="84" spans="3:9" ht="13.5" customHeight="1" thickBot="1">
      <c r="C84" s="228" t="s">
        <v>44</v>
      </c>
      <c r="D84" s="229"/>
      <c r="E84" s="229"/>
      <c r="F84" s="230"/>
      <c r="G84" s="129">
        <f>G83*G29</f>
        <v>60256.28234398783</v>
      </c>
      <c r="H84" s="90"/>
      <c r="I84" s="142">
        <f>C76-G76</f>
        <v>60256.28234398782</v>
      </c>
    </row>
    <row r="85" spans="3:9" ht="3" customHeight="1" thickBot="1">
      <c r="C85" s="113"/>
      <c r="D85" s="103"/>
      <c r="E85" s="103"/>
      <c r="F85" s="103"/>
      <c r="G85" s="82"/>
      <c r="H85" s="83"/>
      <c r="I85" s="141">
        <f>C76-G76</f>
        <v>60256.28234398782</v>
      </c>
    </row>
    <row r="89" spans="1:7" ht="26.25">
      <c r="A89" s="31"/>
      <c r="B89" s="194" t="s">
        <v>99</v>
      </c>
      <c r="C89" s="194" t="s">
        <v>96</v>
      </c>
      <c r="D89" s="194"/>
      <c r="E89" s="194"/>
      <c r="F89" s="194" t="s">
        <v>97</v>
      </c>
      <c r="G89" s="194" t="s">
        <v>100</v>
      </c>
    </row>
    <row r="90" spans="1:7" ht="15.75">
      <c r="A90" s="31" t="s">
        <v>98</v>
      </c>
      <c r="B90" s="195">
        <f>(C29*C13)/2000/C31</f>
        <v>175</v>
      </c>
      <c r="C90" s="195">
        <f>IF(B6="Carton",'Equivalence Factors'!C9,'Equivalence Factors'!C16)*Input!$B90</f>
        <v>227.5</v>
      </c>
      <c r="D90" s="196"/>
      <c r="E90" s="196"/>
      <c r="F90" s="195">
        <f>IF(B6="Carton",'Equivalence Factors'!B9,'Equivalence Factors'!B16)*Input!$B90</f>
        <v>875</v>
      </c>
      <c r="G90" s="197">
        <f>C90/3.6</f>
        <v>63.19444444444444</v>
      </c>
    </row>
    <row r="91" spans="1:7" ht="12.75">
      <c r="A91" s="2"/>
      <c r="B91" s="19"/>
      <c r="C91" s="19"/>
      <c r="F91" s="19"/>
      <c r="G91" s="192"/>
    </row>
    <row r="92" spans="1:7" ht="12.75">
      <c r="A92" s="15" t="s">
        <v>102</v>
      </c>
      <c r="B92" s="193" t="s">
        <v>103</v>
      </c>
      <c r="G92" t="s">
        <v>101</v>
      </c>
    </row>
    <row r="93" spans="1:2" ht="12.75">
      <c r="A93" s="2"/>
      <c r="B93" t="s">
        <v>111</v>
      </c>
    </row>
    <row r="94" ht="12.75">
      <c r="B94" t="s">
        <v>112</v>
      </c>
    </row>
    <row r="96" ht="12.75">
      <c r="A96" s="3" t="s">
        <v>73</v>
      </c>
    </row>
    <row r="97" ht="12.75">
      <c r="B97" s="21"/>
    </row>
    <row r="98" ht="12.75">
      <c r="B98" s="21" t="s">
        <v>71</v>
      </c>
    </row>
    <row r="99" ht="12.75">
      <c r="B99" s="21" t="s">
        <v>72</v>
      </c>
    </row>
    <row r="100" ht="12.75">
      <c r="B100" s="21" t="s">
        <v>3</v>
      </c>
    </row>
    <row r="101" ht="12.75">
      <c r="B101" s="21" t="s">
        <v>29</v>
      </c>
    </row>
    <row r="102" ht="12.75">
      <c r="B102" s="21" t="s">
        <v>30</v>
      </c>
    </row>
  </sheetData>
  <sheetProtection/>
  <mergeCells count="20">
    <mergeCell ref="C84:F84"/>
    <mergeCell ref="C83:F83"/>
    <mergeCell ref="F8:H8"/>
    <mergeCell ref="F9:H9"/>
    <mergeCell ref="B8:C8"/>
    <mergeCell ref="A35:C35"/>
    <mergeCell ref="A36:C36"/>
    <mergeCell ref="A48:B48"/>
    <mergeCell ref="A16:C16"/>
    <mergeCell ref="B73:H73"/>
    <mergeCell ref="I46:M46"/>
    <mergeCell ref="A25:C25"/>
    <mergeCell ref="A63:G63"/>
    <mergeCell ref="A22:C22"/>
    <mergeCell ref="A1:G1"/>
    <mergeCell ref="A2:G2"/>
    <mergeCell ref="A24:C24"/>
    <mergeCell ref="B9:C9"/>
    <mergeCell ref="A20:C20"/>
    <mergeCell ref="A18:C18"/>
  </mergeCells>
  <dataValidations count="1">
    <dataValidation type="list" allowBlank="1" showInputMessage="1" showErrorMessage="1" sqref="C48">
      <formula1>Override</formula1>
    </dataValidation>
  </dataValidations>
  <printOptions/>
  <pageMargins left="0.41" right="0.47" top="0.63" bottom="0.34" header="0.25" footer="0.2"/>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33" sqref="E33"/>
    </sheetView>
  </sheetViews>
  <sheetFormatPr defaultColWidth="8.8515625" defaultRowHeight="12.75"/>
  <sheetData/>
  <sheetProtection/>
  <printOptions/>
  <pageMargins left="0.75" right="0.75" top="1" bottom="1"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I22"/>
  <sheetViews>
    <sheetView zoomScalePageLayoutView="0" workbookViewId="0" topLeftCell="A1">
      <selection activeCell="B13" sqref="B13"/>
    </sheetView>
  </sheetViews>
  <sheetFormatPr defaultColWidth="8.8515625" defaultRowHeight="12.75"/>
  <cols>
    <col min="1" max="1" width="22.421875" style="0" customWidth="1"/>
    <col min="2" max="2" width="15.140625" style="0" bestFit="1" customWidth="1"/>
  </cols>
  <sheetData>
    <row r="1" spans="2:6" ht="12.75">
      <c r="B1" t="s">
        <v>60</v>
      </c>
      <c r="F1" s="15" t="s">
        <v>23</v>
      </c>
    </row>
    <row r="2" spans="1:2" ht="13.5" thickBot="1">
      <c r="A2" t="s">
        <v>46</v>
      </c>
      <c r="B2" s="6">
        <f>Input!G44</f>
        <v>600</v>
      </c>
    </row>
    <row r="3" spans="1:9" ht="12.75">
      <c r="A3" t="s">
        <v>45</v>
      </c>
      <c r="B3" s="6">
        <f>IF((Input!G42*Input!G43)&gt;B2,Input!G42*Input!G43,'INACTIVE - chart data'!B2)</f>
        <v>600</v>
      </c>
      <c r="C3" s="9">
        <v>-0.15</v>
      </c>
      <c r="D3" s="9">
        <v>-0.1</v>
      </c>
      <c r="E3" s="9">
        <v>-0.05</v>
      </c>
      <c r="F3" s="18" t="s">
        <v>36</v>
      </c>
      <c r="G3" s="9">
        <v>0.05</v>
      </c>
      <c r="H3" s="9">
        <v>0.1</v>
      </c>
      <c r="I3" s="9">
        <v>0.15</v>
      </c>
    </row>
    <row r="4" spans="1:9" ht="13.5" thickBot="1">
      <c r="A4" t="s">
        <v>47</v>
      </c>
      <c r="B4" s="10">
        <f>B3/Input!G46</f>
        <v>1.2</v>
      </c>
      <c r="C4" s="10">
        <f>B4*0.85</f>
        <v>1.02</v>
      </c>
      <c r="D4" s="10">
        <f>B4*0.9</f>
        <v>1.08</v>
      </c>
      <c r="E4" s="10">
        <f>B4*0.95</f>
        <v>1.14</v>
      </c>
      <c r="F4" s="14">
        <f>B4</f>
        <v>1.2</v>
      </c>
      <c r="G4" s="10">
        <f>B4*1.05</f>
        <v>1.26</v>
      </c>
      <c r="H4" s="10">
        <f>B4*1.1</f>
        <v>1.32</v>
      </c>
      <c r="I4" s="10">
        <f>B4*1.15</f>
        <v>1.38</v>
      </c>
    </row>
    <row r="5" ht="13.5" thickBot="1"/>
    <row r="6" spans="1:9" ht="12.75">
      <c r="A6" t="s">
        <v>34</v>
      </c>
      <c r="B6">
        <f>Input!G24</f>
        <v>27</v>
      </c>
      <c r="C6">
        <f>F6*0.85</f>
        <v>22.95</v>
      </c>
      <c r="D6">
        <f>F6*0.9</f>
        <v>24.3</v>
      </c>
      <c r="E6">
        <f>F6*0.95</f>
        <v>25.65</v>
      </c>
      <c r="F6" s="11">
        <f>Input!G24</f>
        <v>27</v>
      </c>
      <c r="G6">
        <f>F6*1.05</f>
        <v>28.35</v>
      </c>
      <c r="H6">
        <f>F6*1.1</f>
        <v>29.700000000000003</v>
      </c>
      <c r="I6">
        <f>F6*1.15</f>
        <v>31.049999999999997</v>
      </c>
    </row>
    <row r="7" spans="1:9" ht="12.75">
      <c r="A7" t="s">
        <v>37</v>
      </c>
      <c r="B7" s="17">
        <f>Input!G25</f>
        <v>13.518518518518519</v>
      </c>
      <c r="C7" s="19">
        <f>365/C6</f>
        <v>15.9041394335512</v>
      </c>
      <c r="D7" s="19">
        <f>365/D6</f>
        <v>15.020576131687243</v>
      </c>
      <c r="E7" s="19">
        <f>365/E6</f>
        <v>14.23001949317739</v>
      </c>
      <c r="F7" s="20">
        <f>Input!G25</f>
        <v>13.518518518518519</v>
      </c>
      <c r="G7" s="19">
        <f>365/G6</f>
        <v>12.874779541446207</v>
      </c>
      <c r="H7" s="19">
        <f>365/H6</f>
        <v>12.289562289562289</v>
      </c>
      <c r="I7" s="19">
        <f>365/I6</f>
        <v>11.75523349436393</v>
      </c>
    </row>
    <row r="8" spans="1:9" ht="12.75">
      <c r="A8" t="s">
        <v>22</v>
      </c>
      <c r="B8" s="6" t="e">
        <f>Input!#REF!</f>
        <v>#REF!</v>
      </c>
      <c r="C8" s="16" t="e">
        <f>$F8*(1+C3)</f>
        <v>#REF!</v>
      </c>
      <c r="D8" s="16" t="e">
        <f>$F8*(1+D3)</f>
        <v>#REF!</v>
      </c>
      <c r="E8" s="16" t="e">
        <f>$F8*(1+E3)</f>
        <v>#REF!</v>
      </c>
      <c r="F8" s="12" t="e">
        <f>B8</f>
        <v>#REF!</v>
      </c>
      <c r="G8" s="16" t="e">
        <f>$F8*(1+G3)</f>
        <v>#REF!</v>
      </c>
      <c r="H8" s="16" t="e">
        <f>$F8*(1+H3)</f>
        <v>#REF!</v>
      </c>
      <c r="I8" s="16" t="e">
        <f>$F8*(1+I3)</f>
        <v>#REF!</v>
      </c>
    </row>
    <row r="9" spans="1:9" ht="12.75">
      <c r="A9" t="s">
        <v>33</v>
      </c>
      <c r="B9" s="6">
        <f>Input!G59</f>
        <v>0.25</v>
      </c>
      <c r="C9" s="6">
        <f>B9</f>
        <v>0.25</v>
      </c>
      <c r="D9" s="6">
        <f aca="true" t="shared" si="0" ref="D9:I9">C9</f>
        <v>0.25</v>
      </c>
      <c r="E9" s="6">
        <f t="shared" si="0"/>
        <v>0.25</v>
      </c>
      <c r="F9" s="12">
        <f t="shared" si="0"/>
        <v>0.25</v>
      </c>
      <c r="G9" s="6">
        <f t="shared" si="0"/>
        <v>0.25</v>
      </c>
      <c r="H9" s="6">
        <f t="shared" si="0"/>
        <v>0.25</v>
      </c>
      <c r="I9" s="6">
        <f t="shared" si="0"/>
        <v>0.25</v>
      </c>
    </row>
    <row r="10" spans="2:9" ht="13.5" thickBot="1">
      <c r="B10" s="6"/>
      <c r="C10" s="6"/>
      <c r="D10" s="6"/>
      <c r="E10" s="6"/>
      <c r="F10" s="13"/>
      <c r="G10" s="6"/>
      <c r="H10" s="6"/>
      <c r="I10" s="6"/>
    </row>
    <row r="11" spans="1:9" ht="12.75">
      <c r="A11" t="s">
        <v>35</v>
      </c>
      <c r="C11" s="17" t="e">
        <f>C4+C8+C9+C10</f>
        <v>#REF!</v>
      </c>
      <c r="D11" s="17" t="e">
        <f aca="true" t="shared" si="1" ref="D11:I11">D4+D8+D9+D10</f>
        <v>#REF!</v>
      </c>
      <c r="E11" s="17" t="e">
        <f t="shared" si="1"/>
        <v>#REF!</v>
      </c>
      <c r="F11" s="17" t="e">
        <f t="shared" si="1"/>
        <v>#REF!</v>
      </c>
      <c r="G11" s="17" t="e">
        <f t="shared" si="1"/>
        <v>#REF!</v>
      </c>
      <c r="H11" s="17" t="e">
        <f t="shared" si="1"/>
        <v>#REF!</v>
      </c>
      <c r="I11" s="17" t="e">
        <f t="shared" si="1"/>
        <v>#REF!</v>
      </c>
    </row>
    <row r="13" spans="1:9" ht="12.75">
      <c r="A13" t="s">
        <v>48</v>
      </c>
      <c r="B13" s="6">
        <f>Input!C12</f>
        <v>7.02</v>
      </c>
      <c r="C13" s="6">
        <f>B13</f>
        <v>7.02</v>
      </c>
      <c r="D13" s="6">
        <f aca="true" t="shared" si="2" ref="D13:I13">C13</f>
        <v>7.02</v>
      </c>
      <c r="E13" s="6">
        <f t="shared" si="2"/>
        <v>7.02</v>
      </c>
      <c r="F13" s="6">
        <f t="shared" si="2"/>
        <v>7.02</v>
      </c>
      <c r="G13" s="6">
        <f t="shared" si="2"/>
        <v>7.02</v>
      </c>
      <c r="H13" s="6">
        <f t="shared" si="2"/>
        <v>7.02</v>
      </c>
      <c r="I13" s="6">
        <f t="shared" si="2"/>
        <v>7.02</v>
      </c>
    </row>
    <row r="14" ht="12.75">
      <c r="B14" s="6"/>
    </row>
    <row r="15" spans="1:9" ht="12.75">
      <c r="A15" t="s">
        <v>61</v>
      </c>
      <c r="B15" s="6"/>
      <c r="C15" s="1" t="e">
        <f>I11</f>
        <v>#REF!</v>
      </c>
      <c r="D15" s="1" t="e">
        <f>H11</f>
        <v>#REF!</v>
      </c>
      <c r="E15" s="1" t="e">
        <f>G11</f>
        <v>#REF!</v>
      </c>
      <c r="F15" s="1" t="e">
        <f>F11</f>
        <v>#REF!</v>
      </c>
      <c r="G15" s="1" t="e">
        <f>E11</f>
        <v>#REF!</v>
      </c>
      <c r="H15" s="1" t="e">
        <f>D11</f>
        <v>#REF!</v>
      </c>
      <c r="I15" s="1" t="e">
        <f>C11</f>
        <v>#REF!</v>
      </c>
    </row>
    <row r="16" spans="1:9" ht="12.75">
      <c r="A16" t="s">
        <v>37</v>
      </c>
      <c r="C16" s="19">
        <f>I7</f>
        <v>11.75523349436393</v>
      </c>
      <c r="D16" s="19">
        <f>H7</f>
        <v>12.289562289562289</v>
      </c>
      <c r="E16" s="19">
        <f>G7</f>
        <v>12.874779541446207</v>
      </c>
      <c r="F16" s="19">
        <f>F7</f>
        <v>13.518518518518519</v>
      </c>
      <c r="G16" s="19">
        <f>E7</f>
        <v>14.23001949317739</v>
      </c>
      <c r="H16" s="19">
        <f>D7</f>
        <v>15.020576131687243</v>
      </c>
      <c r="I16" s="19">
        <f>C7</f>
        <v>15.9041394335512</v>
      </c>
    </row>
    <row r="20" ht="12.75">
      <c r="B20" t="s">
        <v>70</v>
      </c>
    </row>
    <row r="21" spans="1:2" ht="12.75">
      <c r="A21" t="s">
        <v>67</v>
      </c>
      <c r="B21" s="2" t="s">
        <v>68</v>
      </c>
    </row>
    <row r="22" ht="12.75">
      <c r="B22" s="2" t="s">
        <v>69</v>
      </c>
    </row>
  </sheetData>
  <sheetProtection/>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G19"/>
  <sheetViews>
    <sheetView zoomScalePageLayoutView="0" workbookViewId="0" topLeftCell="A1">
      <selection activeCell="C26" sqref="C26"/>
    </sheetView>
  </sheetViews>
  <sheetFormatPr defaultColWidth="11.421875" defaultRowHeight="12.75"/>
  <cols>
    <col min="1" max="1" width="29.421875" style="0" customWidth="1"/>
  </cols>
  <sheetData>
    <row r="1" spans="1:7" ht="18.75">
      <c r="A1" s="179" t="s">
        <v>77</v>
      </c>
      <c r="B1" s="179"/>
      <c r="C1" s="180"/>
      <c r="D1" s="180"/>
      <c r="E1" s="180"/>
      <c r="F1" s="180"/>
      <c r="G1" s="179"/>
    </row>
    <row r="2" spans="1:7" ht="18.75">
      <c r="A2" s="179" t="s">
        <v>78</v>
      </c>
      <c r="B2" s="180"/>
      <c r="C2" s="180"/>
      <c r="D2" s="180"/>
      <c r="E2" s="180"/>
      <c r="F2" s="180"/>
      <c r="G2" s="179"/>
    </row>
    <row r="3" spans="1:7" ht="15">
      <c r="A3" s="181" t="s">
        <v>79</v>
      </c>
      <c r="B3" s="182"/>
      <c r="C3" s="182"/>
      <c r="D3" s="182"/>
      <c r="E3" s="182"/>
      <c r="F3" s="182"/>
      <c r="G3" s="181"/>
    </row>
    <row r="4" spans="1:7" ht="15">
      <c r="A4" s="183">
        <v>41177</v>
      </c>
      <c r="B4" s="182"/>
      <c r="C4" s="182"/>
      <c r="D4" s="182"/>
      <c r="E4" s="182"/>
      <c r="F4" s="182"/>
      <c r="G4" s="181"/>
    </row>
    <row r="5" spans="1:7" ht="15">
      <c r="A5" s="181"/>
      <c r="B5" s="182"/>
      <c r="C5" s="182"/>
      <c r="D5" s="182"/>
      <c r="E5" s="182"/>
      <c r="F5" s="182"/>
      <c r="G5" s="181"/>
    </row>
    <row r="6" spans="1:7" ht="105">
      <c r="A6" s="184" t="s">
        <v>80</v>
      </c>
      <c r="B6" s="185" t="s">
        <v>81</v>
      </c>
      <c r="C6" s="185" t="s">
        <v>82</v>
      </c>
      <c r="D6" s="185" t="s">
        <v>83</v>
      </c>
      <c r="E6" s="185" t="s">
        <v>84</v>
      </c>
      <c r="F6" s="185" t="s">
        <v>85</v>
      </c>
      <c r="G6" s="186"/>
    </row>
    <row r="7" spans="1:7" ht="15">
      <c r="A7" s="187" t="s">
        <v>86</v>
      </c>
      <c r="B7" s="188"/>
      <c r="C7" s="189">
        <v>16</v>
      </c>
      <c r="D7" s="190">
        <v>64747</v>
      </c>
      <c r="E7" s="188"/>
      <c r="F7" s="188"/>
      <c r="G7" s="181"/>
    </row>
    <row r="8" spans="1:7" ht="15">
      <c r="A8" s="187" t="s">
        <v>87</v>
      </c>
      <c r="B8" s="188">
        <v>17</v>
      </c>
      <c r="C8" s="189">
        <v>6.1</v>
      </c>
      <c r="D8" s="190">
        <v>4100</v>
      </c>
      <c r="E8" s="188">
        <v>3.3</v>
      </c>
      <c r="F8" s="190">
        <v>7000</v>
      </c>
      <c r="G8" s="181"/>
    </row>
    <row r="9" spans="1:7" ht="15">
      <c r="A9" s="187" t="s">
        <v>88</v>
      </c>
      <c r="B9" s="188">
        <v>17</v>
      </c>
      <c r="C9" s="189">
        <v>2.5</v>
      </c>
      <c r="D9" s="190">
        <v>4100</v>
      </c>
      <c r="E9" s="188">
        <v>3.3</v>
      </c>
      <c r="F9" s="190">
        <v>7000</v>
      </c>
      <c r="G9" s="181"/>
    </row>
    <row r="10" spans="1:7" ht="15">
      <c r="A10" s="187" t="s">
        <v>89</v>
      </c>
      <c r="B10" s="188">
        <v>17</v>
      </c>
      <c r="C10" s="189">
        <v>6.1</v>
      </c>
      <c r="D10" s="190">
        <v>4100</v>
      </c>
      <c r="E10" s="188">
        <v>3.3</v>
      </c>
      <c r="F10" s="190">
        <v>7000</v>
      </c>
      <c r="G10" s="181"/>
    </row>
    <row r="11" spans="1:7" ht="15">
      <c r="A11" s="187" t="s">
        <v>90</v>
      </c>
      <c r="B11" s="188">
        <v>5</v>
      </c>
      <c r="C11" s="189">
        <v>3</v>
      </c>
      <c r="D11" s="188">
        <v>319</v>
      </c>
      <c r="E11" s="188"/>
      <c r="F11" s="188"/>
      <c r="G11" s="181"/>
    </row>
    <row r="12" spans="1:7" ht="15">
      <c r="A12" s="187" t="s">
        <v>91</v>
      </c>
      <c r="B12" s="188">
        <v>17</v>
      </c>
      <c r="C12" s="189">
        <v>6.1</v>
      </c>
      <c r="D12" s="190">
        <v>4100</v>
      </c>
      <c r="E12" s="188">
        <v>3.3</v>
      </c>
      <c r="F12" s="190">
        <v>7000</v>
      </c>
      <c r="G12" s="181"/>
    </row>
    <row r="13" spans="1:7" ht="15">
      <c r="A13" s="187" t="s">
        <v>92</v>
      </c>
      <c r="B13" s="188"/>
      <c r="C13" s="189">
        <v>2.1</v>
      </c>
      <c r="D13" s="188">
        <v>7820</v>
      </c>
      <c r="E13" s="191"/>
      <c r="F13" s="188"/>
      <c r="G13" s="181"/>
    </row>
    <row r="14" spans="1:7" ht="15">
      <c r="A14" s="187" t="s">
        <v>93</v>
      </c>
      <c r="B14" s="188"/>
      <c r="C14" s="189">
        <v>2</v>
      </c>
      <c r="D14" s="188"/>
      <c r="E14" s="191"/>
      <c r="F14" s="188"/>
      <c r="G14" s="181"/>
    </row>
    <row r="15" spans="1:7" ht="15">
      <c r="A15" s="187" t="s">
        <v>94</v>
      </c>
      <c r="B15" s="188"/>
      <c r="C15" s="189">
        <v>2</v>
      </c>
      <c r="D15" s="188">
        <v>5965</v>
      </c>
      <c r="E15" s="188"/>
      <c r="F15" s="188"/>
      <c r="G15" s="181"/>
    </row>
    <row r="16" spans="1:7" ht="15">
      <c r="A16" s="187" t="s">
        <v>95</v>
      </c>
      <c r="B16" s="188">
        <v>5</v>
      </c>
      <c r="C16" s="189">
        <v>1.3</v>
      </c>
      <c r="D16" s="188">
        <v>319</v>
      </c>
      <c r="E16" s="191"/>
      <c r="F16" s="188"/>
      <c r="G16" s="181"/>
    </row>
    <row r="17" spans="1:7" ht="15">
      <c r="A17" s="181"/>
      <c r="B17" s="182"/>
      <c r="C17" s="182"/>
      <c r="D17" s="182"/>
      <c r="E17" s="182"/>
      <c r="F17" s="182"/>
      <c r="G17" s="181"/>
    </row>
    <row r="18" spans="1:7" ht="15">
      <c r="A18" s="181"/>
      <c r="B18" s="182"/>
      <c r="C18" s="182"/>
      <c r="D18" s="182"/>
      <c r="E18" s="182"/>
      <c r="F18" s="182"/>
      <c r="G18" s="181"/>
    </row>
    <row r="19" spans="1:7" ht="15">
      <c r="A19" s="181"/>
      <c r="B19" s="182"/>
      <c r="C19" s="182"/>
      <c r="D19" s="182"/>
      <c r="E19" s="182"/>
      <c r="F19" s="182"/>
      <c r="G19" s="181"/>
    </row>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Tosca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Corrugated vs RPC cost Analyzer</dc:title>
  <dc:subject>For RPCC &amp; StopWast.Org use</dc:subject>
  <dc:creator>Andy Dewitt</dc:creator>
  <cp:keywords/>
  <dc:description/>
  <cp:lastModifiedBy>Michelle Fay</cp:lastModifiedBy>
  <cp:lastPrinted>2007-08-08T22:26:05Z</cp:lastPrinted>
  <dcterms:created xsi:type="dcterms:W3CDTF">2007-04-25T18:55:48Z</dcterms:created>
  <dcterms:modified xsi:type="dcterms:W3CDTF">2015-04-21T20:43:23Z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Tosca Ltd.</vt:lpwstr>
  </property>
  <property fmtid="{D5CDD505-2E9C-101B-9397-08002B2CF9AE}" pid="3" name="EmailTo">
    <vt:lpwstr/>
  </property>
  <property fmtid="{D5CDD505-2E9C-101B-9397-08002B2CF9AE}" pid="4" name="EmailSender">
    <vt:lpwstr/>
  </property>
  <property fmtid="{D5CDD505-2E9C-101B-9397-08002B2CF9AE}" pid="5" name="EmailFrom">
    <vt:lpwstr/>
  </property>
  <property fmtid="{D5CDD505-2E9C-101B-9397-08002B2CF9AE}" pid="6" name="EmailSubject">
    <vt:lpwstr/>
  </property>
  <property fmtid="{D5CDD505-2E9C-101B-9397-08002B2CF9AE}" pid="7" name="EmailCc">
    <vt:lpwstr/>
  </property>
</Properties>
</file>